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Default Extension="gif" ContentType="image/gif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Default Extension="png" ContentType="image/png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" yWindow="-12" windowWidth="15336" windowHeight="4320" tabRatio="821" activeTab="1"/>
  </bookViews>
  <sheets>
    <sheet name="Plan mini" sheetId="13" r:id="rId1"/>
    <sheet name="2n 3n" sheetId="2" r:id="rId2"/>
    <sheet name="3n 3n" sheetId="3" r:id="rId3"/>
    <sheet name="2n 3n 2n" sheetId="4" r:id="rId4"/>
    <sheet name="ANOVA_HID" sheetId="10" state="hidden" r:id="rId5"/>
    <sheet name="ANOVA_HID1" sheetId="12" state="hidden" r:id="rId6"/>
    <sheet name="2n 3n 3n" sheetId="5" r:id="rId7"/>
    <sheet name="3n 3n 3n" sheetId="6" r:id="rId8"/>
    <sheet name="3n 2n 2n 2n" sheetId="7" r:id="rId9"/>
    <sheet name="3n 3n 2n 2n 2n" sheetId="8" r:id="rId10"/>
    <sheet name="ANOVA_HID2" sheetId="16" state="hidden" r:id="rId11"/>
    <sheet name="ANOVA1_HID" sheetId="18" state="hidden" r:id="rId12"/>
    <sheet name="ANOVA_HID3" sheetId="21" state="hidden" r:id="rId13"/>
  </sheets>
  <definedNames>
    <definedName name="_SA1">'2n 3n 3n'!$E$13:$E$21</definedName>
    <definedName name="_SA2">'2n 3n 3n'!$E$22:$E$30</definedName>
    <definedName name="_SB1">'2n 3n 3n'!$E$13:$E$15,'2n 3n 3n'!$E$22:$E$24</definedName>
    <definedName name="_SB2">'2n 3n 3n'!$E$16:$E$18,'2n 3n 3n'!$E$25:$E$27</definedName>
    <definedName name="_SB3">'2n 3n 3n'!$E$19:$E$21,'2n 3n 3n'!$E$28:$E$30</definedName>
    <definedName name="_SC1">'2n 3n 3n'!$E$13,'2n 3n 3n'!$E$16,'2n 3n 3n'!$E$19,'2n 3n 3n'!$E$22,'2n 3n 3n'!$E$25,'2n 3n 3n'!$E$28</definedName>
    <definedName name="_SC2">'2n 3n 3n'!$E$14,'2n 3n 3n'!$E$17,'2n 3n 3n'!$E$20,'2n 3n 3n'!$E$23,'2n 3n 3n'!$E$26,'2n 3n 3n'!$E$29</definedName>
    <definedName name="_SC3">'2n 3n 3n'!$E$15,'2n 3n 3n'!$E$18,'2n 3n 3n'!$E$21,'2n 3n 3n'!$E$24,'2n 3n 3n'!$E$27,'2n 3n 3n'!$E$30</definedName>
    <definedName name="_TA1">'3n 3n 3n'!$E$12:$E$20</definedName>
    <definedName name="_TA2">'3n 3n 3n'!$E$21:$E$29</definedName>
    <definedName name="_TA3">'3n 3n 3n'!$E$30:$E$38</definedName>
    <definedName name="_TB1">'3n 3n 3n'!$E$12:$E$14,'3n 3n 3n'!$E$21:$E$23,'3n 3n 3n'!$E$30:$E$32</definedName>
    <definedName name="_TB2">'3n 3n 3n'!$E$15:$E$17,'3n 3n 3n'!$E$24:$E$26,'3n 3n 3n'!$E$33:$E$35</definedName>
    <definedName name="_TB3">'3n 3n 3n'!$E$18:$E$20,'3n 3n 3n'!$E$27:$E$29,'3n 3n 3n'!$E$36:$E$38</definedName>
    <definedName name="_TC1">'3n 3n 3n'!$E$12,'3n 3n 3n'!$E$15,'3n 3n 3n'!$E$18,'3n 3n 3n'!$E$21,'3n 3n 3n'!$E$24,'3n 3n 3n'!$E$27,'3n 3n 3n'!$E$30,'3n 3n 3n'!$E$33,'3n 3n 3n'!$E$36</definedName>
    <definedName name="_TC2">'3n 3n 3n'!$E$13,'3n 3n 3n'!$E$16,'3n 3n 3n'!$E$19,'3n 3n 3n'!$E$22,'3n 3n 3n'!$E$25,'3n 3n 3n'!$E$28,'3n 3n 3n'!$E$31,'3n 3n 3n'!$E$34,'3n 3n 3n'!$E$37</definedName>
    <definedName name="_TC3">'3n 3n 3n'!$E$14,'3n 3n 3n'!$E$17,'3n 3n 3n'!$E$20,'3n 3n 3n'!$E$23,'3n 3n 3n'!$E$26,'3n 3n 3n'!$E$29,'3n 3n 3n'!$E$32,'3n 3n 3n'!$E$35,'3n 3n 3n'!$E$38</definedName>
    <definedName name="_UA1">'3n 2n 2n 2n'!$F$14:$F$21</definedName>
    <definedName name="_UA2">'3n 2n 2n 2n'!$F$22:$F$29</definedName>
    <definedName name="_UA3">'3n 2n 2n 2n'!$F$30:$F$37</definedName>
    <definedName name="_UB1">'3n 2n 2n 2n'!$F$14:$F$17,'3n 2n 2n 2n'!$F$22:$F$25,'3n 2n 2n 2n'!$F$30:$F$33</definedName>
    <definedName name="_UB2">'3n 2n 2n 2n'!$F$18:$F$21,'3n 2n 2n 2n'!$F$26:$F$29,'3n 2n 2n 2n'!$F$34:$F$37</definedName>
    <definedName name="_UC1">'3n 2n 2n 2n'!$F$14:$F$15,'3n 2n 2n 2n'!$F$18:$F$19,'3n 2n 2n 2n'!$F$22:$F$23,'3n 2n 2n 2n'!$F$26:$F$27,'3n 2n 2n 2n'!$F$30:$F$31,'3n 2n 2n 2n'!$F$34:$F$35</definedName>
    <definedName name="_UC2">'3n 2n 2n 2n'!$F$16:$F$17,'3n 2n 2n 2n'!$F$20:$F$21,'3n 2n 2n 2n'!$F$24:$F$25,'3n 2n 2n 2n'!$F$28:$F$29,'3n 2n 2n 2n'!$F$32:$F$33,'3n 2n 2n 2n'!$F$36:$F$37</definedName>
    <definedName name="_UD1">'3n 2n 2n 2n'!$F$14,'3n 2n 2n 2n'!$F$16,'3n 2n 2n 2n'!$F$18,'3n 2n 2n 2n'!$F$20,'3n 2n 2n 2n'!$F$22,'3n 2n 2n 2n'!$F$24,'3n 2n 2n 2n'!$F$26,'3n 2n 2n 2n'!$F$28,'3n 2n 2n 2n'!$F$30,'3n 2n 2n 2n'!$F$32,'3n 2n 2n 2n'!$F$34,'3n 2n 2n 2n'!$F$36</definedName>
    <definedName name="_UD2">'3n 2n 2n 2n'!$F$15,'3n 2n 2n 2n'!$F$17,'3n 2n 2n 2n'!$F$19,'3n 2n 2n 2n'!$F$21,'3n 2n 2n 2n'!$F$23,'3n 2n 2n 2n'!$F$25,'3n 2n 2n 2n'!$F$27,'3n 2n 2n 2n'!$F$29,'3n 2n 2n 2n'!$F$31,'3n 2n 2n 2n'!$F$33,'3n 2n 2n 2n'!$F$35,'3n 2n 2n 2n'!$F$37</definedName>
    <definedName name="_va1">'3n 3n 2n 2n 2n'!$G$15:$G$38</definedName>
    <definedName name="_va2">'3n 3n 2n 2n 2n'!$G$39:$G$62</definedName>
    <definedName name="_va3">'3n 3n 2n 2n 2n'!$G$63:$G$86</definedName>
    <definedName name="_vb1">'3n 3n 2n 2n 2n'!$G$15:$G$22,'3n 3n 2n 2n 2n'!$G$39:$G$46,'3n 3n 2n 2n 2n'!$G$63:$G$70</definedName>
    <definedName name="_vb2">'3n 3n 2n 2n 2n'!$G$23:$G$30,'3n 3n 2n 2n 2n'!$G$47:$G$54,'3n 3n 2n 2n 2n'!$G$71:$G$78</definedName>
    <definedName name="_vb3">'3n 3n 2n 2n 2n'!$G$31:$G$38,'3n 3n 2n 2n 2n'!$G$55:$G$62,'3n 3n 2n 2n 2n'!$G$79:$G$86</definedName>
    <definedName name="_vc1">'3n 3n 2n 2n 2n'!$G$15:$G$18,'3n 3n 2n 2n 2n'!$G$23:$G$26,'3n 3n 2n 2n 2n'!$G$31:$G$34,'3n 3n 2n 2n 2n'!$G$39:$G$42,'3n 3n 2n 2n 2n'!$G$47:$G$50,'3n 3n 2n 2n 2n'!$G$55:$G$58,'3n 3n 2n 2n 2n'!$G$63:$G$66,'3n 3n 2n 2n 2n'!$G$71:$G$74,'3n 3n 2n 2n 2n'!$G$79:$G$82</definedName>
    <definedName name="_vc2">'3n 3n 2n 2n 2n'!$G$19:$G$22,'3n 3n 2n 2n 2n'!$G$27:$G$30,'3n 3n 2n 2n 2n'!$G$35:$G$38,'3n 3n 2n 2n 2n'!$G$43:$G$46,'3n 3n 2n 2n 2n'!$G$51:$G$54,'3n 3n 2n 2n 2n'!$G$59:$G$62,'3n 3n 2n 2n 2n'!$G$67:$G$70,'3n 3n 2n 2n 2n'!$G$75:$G$78,'3n 3n 2n 2n 2n'!$G$83:$G$86</definedName>
    <definedName name="_vd1">'3n 3n 2n 2n 2n'!$G$15:$G$16,'3n 3n 2n 2n 2n'!$G$19:$G$20,'3n 3n 2n 2n 2n'!$G$23:$G$24,'3n 3n 2n 2n 2n'!$G$27:$G$28,'3n 3n 2n 2n 2n'!$G$31:$G$32,'3n 3n 2n 2n 2n'!$G$35:$G$36,'3n 3n 2n 2n 2n'!$G$39:$G$40,'3n 3n 2n 2n 2n'!$G$43:$G$44,'3n 3n 2n 2n 2n'!$G$47:$G$48,'3n 3n 2n 2n 2n'!$G$51:$G$52,'3n 3n 2n 2n 2n'!$G$55:$G$56,'3n 3n 2n 2n 2n'!$G$59:$G$60,'3n 3n 2n 2n 2n'!$G$63:$G$64,'3n 3n 2n 2n 2n'!$G$67:$G$68,'3n 3n 2n 2n 2n'!$G$71:$G$72,'3n 3n 2n 2n 2n'!$G$75:$G$76,'3n 3n 2n 2n 2n'!$G$79:$G$80,'3n 3n 2n 2n 2n'!$G$83:$G$84</definedName>
    <definedName name="_vd2">'3n 3n 2n 2n 2n'!$G$17:$G$18,'3n 3n 2n 2n 2n'!$G$21:$G$22,'3n 3n 2n 2n 2n'!$G$25:$G$26,'3n 3n 2n 2n 2n'!$G$29:$G$30,'3n 3n 2n 2n 2n'!$G$33:$G$34,'3n 3n 2n 2n 2n'!$G$37:$G$38,'3n 3n 2n 2n 2n'!$G$41:$G$42,'3n 3n 2n 2n 2n'!$G$45:$G$46,'3n 3n 2n 2n 2n'!$G$49:$G$50,'3n 3n 2n 2n 2n'!$G$53:$G$54,'3n 3n 2n 2n 2n'!$G$57:$G$58,'3n 3n 2n 2n 2n'!$G$61:$G$62,'3n 3n 2n 2n 2n'!$G$65:$G$66,'3n 3n 2n 2n 2n'!$G$69:$G$70,'3n 3n 2n 2n 2n'!$G$73:$G$74,'3n 3n 2n 2n 2n'!$G$77:$G$78,'3n 3n 2n 2n 2n'!$G$81:$G$82,'3n 3n 2n 2n 2n'!$G$85:$G$86</definedName>
    <definedName name="_ve1">'3n 3n 2n 2n 2n'!$G$15,'3n 3n 2n 2n 2n'!$G$17,'3n 3n 2n 2n 2n'!$G$19,'3n 3n 2n 2n 2n'!$G$21,'3n 3n 2n 2n 2n'!$G$23,'3n 3n 2n 2n 2n'!$G$25,'3n 3n 2n 2n 2n'!$G$27,'3n 3n 2n 2n 2n'!$G$29,'3n 3n 2n 2n 2n'!$G$31,'3n 3n 2n 2n 2n'!$G$33,'3n 3n 2n 2n 2n'!$G$35,'3n 3n 2n 2n 2n'!$G$37,'3n 3n 2n 2n 2n'!$G$39,'3n 3n 2n 2n 2n'!$G$41,'3n 3n 2n 2n 2n'!$G$43,'3n 3n 2n 2n 2n'!$G$45,'3n 3n 2n 2n 2n'!$G$47,'3n 3n 2n 2n 2n'!$G$49,'3n 3n 2n 2n 2n'!$G$51,'3n 3n 2n 2n 2n'!$G$53,'3n 3n 2n 2n 2n'!$G$55,'3n 3n 2n 2n 2n'!$G$57,'3n 3n 2n 2n 2n'!$G$59,'3n 3n 2n 2n 2n'!$G$61,'3n 3n 2n 2n 2n'!$G$63,'3n 3n 2n 2n 2n'!$G$65,'3n 3n 2n 2n 2n'!$G$67,'3n 3n 2n 2n 2n'!$G$69,'3n 3n 2n 2n 2n'!$G$71,'3n 3n 2n 2n 2n'!$G$73,'3n 3n 2n 2n 2n'!$G$75,'3n 3n 2n 2n 2n'!$G$77,'3n 3n 2n 2n 2n'!$G$79,'3n 3n 2n 2n 2n'!$G$81,'3n 3n 2n 2n 2n'!$G$83,'3n 3n 2n 2n 2n'!$G$85</definedName>
    <definedName name="_ve2">'3n 3n 2n 2n 2n'!$G$16,'3n 3n 2n 2n 2n'!$G$18,'3n 3n 2n 2n 2n'!$G$20,'3n 3n 2n 2n 2n'!$G$22,'3n 3n 2n 2n 2n'!$G$24,'3n 3n 2n 2n 2n'!$G$26,'3n 3n 2n 2n 2n'!$G$28,'3n 3n 2n 2n 2n'!$G$30,'3n 3n 2n 2n 2n'!$G$32,'3n 3n 2n 2n 2n'!$G$34,'3n 3n 2n 2n 2n'!$G$36,'3n 3n 2n 2n 2n'!$G$38,'3n 3n 2n 2n 2n'!$G$40,'3n 3n 2n 2n 2n'!$G$42,'3n 3n 2n 2n 2n'!$G$44,'3n 3n 2n 2n 2n'!$G$46,'3n 3n 2n 2n 2n'!$G$48,'3n 3n 2n 2n 2n'!$G$50,'3n 3n 2n 2n 2n'!$G$52,'3n 3n 2n 2n 2n'!$G$54,'3n 3n 2n 2n 2n'!$G$56,'3n 3n 2n 2n 2n'!$G$58,'3n 3n 2n 2n 2n'!$G$60,'3n 3n 2n 2n 2n'!$G$62,'3n 3n 2n 2n 2n'!$G$64,'3n 3n 2n 2n 2n'!$G$66,'3n 3n 2n 2n 2n'!$G$68,'3n 3n 2n 2n 2n'!$G$70,'3n 3n 2n 2n 2n'!$G$72,'3n 3n 2n 2n 2n'!$G$74,'3n 3n 2n 2n 2n'!$G$76,'3n 3n 2n 2n 2n'!$G$78,'3n 3n 2n 2n 2n'!$G$80,'3n 3n 2n 2n 2n'!$G$82,'3n 3n 2n 2n 2n'!$G$84,'3n 3n 2n 2n 2n'!$G$86</definedName>
    <definedName name="ua1b1">'3n 2n 2n 2n'!$F$14:$F$17</definedName>
    <definedName name="ua1b2">'3n 2n 2n 2n'!$F$18:$F$21</definedName>
    <definedName name="ua1c1">'3n 2n 2n 2n'!$F$14:$F$15,'3n 2n 2n 2n'!$F$18:$F$19</definedName>
    <definedName name="ua1c2">'3n 2n 2n 2n'!$F$16:$F$17,'3n 2n 2n 2n'!$F$20:$F$21</definedName>
    <definedName name="ua1d1">'3n 2n 2n 2n'!$F$14,'3n 2n 2n 2n'!$F$16,'3n 2n 2n 2n'!$F$18,'3n 2n 2n 2n'!$F$20</definedName>
    <definedName name="ua1d2">'3n 2n 2n 2n'!$F$15,'3n 2n 2n 2n'!$F$17,'3n 2n 2n 2n'!$F$19,'3n 2n 2n 2n'!$F$21</definedName>
    <definedName name="ua2b1">'3n 2n 2n 2n'!$F$22:$F$25</definedName>
    <definedName name="ua2b2">'3n 2n 2n 2n'!$F$26:$F$29</definedName>
    <definedName name="ua2c1">'3n 2n 2n 2n'!$F$22:$F$23,'3n 2n 2n 2n'!$F$26:$F$27</definedName>
    <definedName name="ua2c2">'3n 2n 2n 2n'!$F$24:$F$25,'3n 2n 2n 2n'!$F$28:$F$29</definedName>
    <definedName name="ua2d1">'3n 2n 2n 2n'!$F$22,'3n 2n 2n 2n'!$F$24,'3n 2n 2n 2n'!$F$26,'3n 2n 2n 2n'!$F$28</definedName>
    <definedName name="ua2d2">'3n 2n 2n 2n'!$F$23,'3n 2n 2n 2n'!$F$25,'3n 2n 2n 2n'!$F$27,'3n 2n 2n 2n'!$F$29</definedName>
    <definedName name="ua3b1">'3n 2n 2n 2n'!$F$30:$F$33</definedName>
    <definedName name="ua3b2">'3n 2n 2n 2n'!$F$34:$F$37</definedName>
    <definedName name="ua3c1">'3n 2n 2n 2n'!$F$30:$F$31,'3n 2n 2n 2n'!$F$34:$F$35</definedName>
    <definedName name="ua3c2">'3n 2n 2n 2n'!$F$32:$F$33,'3n 2n 2n 2n'!$F$36:$F$37</definedName>
    <definedName name="ua3d1">'3n 2n 2n 2n'!$F$30,'3n 2n 2n 2n'!$F$32,'3n 2n 2n 2n'!$F$34,'3n 2n 2n 2n'!$F$36</definedName>
    <definedName name="ua3d2">'3n 2n 2n 2n'!$F$31,'3n 2n 2n 2n'!$F$33,'3n 2n 2n 2n'!$F$35,'3n 2n 2n 2n'!$F$37</definedName>
    <definedName name="ub1c1">'3n 2n 2n 2n'!$F$14:$F$15,'3n 2n 2n 2n'!$F$22:$F$23,'3n 2n 2n 2n'!$F$30:$F$31</definedName>
    <definedName name="ub1c2">'3n 2n 2n 2n'!$F$16:$F$17,'3n 2n 2n 2n'!$F$24:$F$25,'3n 2n 2n 2n'!$F$32:$F$33</definedName>
    <definedName name="ub1d1">'3n 2n 2n 2n'!$F$32,'3n 2n 2n 2n'!$F$30,'3n 2n 2n 2n'!$F$24,'3n 2n 2n 2n'!$F$22,'3n 2n 2n 2n'!$F$14,'3n 2n 2n 2n'!$F$16</definedName>
    <definedName name="ub1d2">'3n 2n 2n 2n'!$F$15,'3n 2n 2n 2n'!$F$17,'3n 2n 2n 2n'!$F$23,'3n 2n 2n 2n'!$F$25,'3n 2n 2n 2n'!$F$31,'3n 2n 2n 2n'!$F$33</definedName>
    <definedName name="ub2c1">'3n 2n 2n 2n'!$F$18:$F$19,'3n 2n 2n 2n'!$F$26:$F$27,'3n 2n 2n 2n'!$F$34:$F$35</definedName>
    <definedName name="ub2c2">'3n 2n 2n 2n'!$F$20:$F$21,'3n 2n 2n 2n'!$F$28:$F$29,'3n 2n 2n 2n'!$F$36:$F$37</definedName>
    <definedName name="ub2d1">'3n 2n 2n 2n'!$F$18,'3n 2n 2n 2n'!$F$20,'3n 2n 2n 2n'!$F$26,'3n 2n 2n 2n'!$F$28,'3n 2n 2n 2n'!$F$34,'3n 2n 2n 2n'!$F$36</definedName>
    <definedName name="ub2d2">'3n 2n 2n 2n'!$F$19,'3n 2n 2n 2n'!$F$21,'3n 2n 2n 2n'!$F$27,'3n 2n 2n 2n'!$F$29,'3n 2n 2n 2n'!$F$35,'3n 2n 2n 2n'!$F$37</definedName>
    <definedName name="uc1d1">'3n 2n 2n 2n'!$F$14,'3n 2n 2n 2n'!$F$18,'3n 2n 2n 2n'!$F$22,'3n 2n 2n 2n'!$F$26,'3n 2n 2n 2n'!$F$30,'3n 2n 2n 2n'!$F$34</definedName>
    <definedName name="uc1d2">'3n 2n 2n 2n'!$F$15,'3n 2n 2n 2n'!$F$19,'3n 2n 2n 2n'!$F$23,'3n 2n 2n 2n'!$F$27,'3n 2n 2n 2n'!$F$31,'3n 2n 2n 2n'!$F$35</definedName>
    <definedName name="uc2d1">'3n 2n 2n 2n'!$F$16,'3n 2n 2n 2n'!$F$20,'3n 2n 2n 2n'!$F$24,'3n 2n 2n 2n'!$F$28,'3n 2n 2n 2n'!$F$32,'3n 2n 2n 2n'!$F$36</definedName>
    <definedName name="uc2d2">'3n 2n 2n 2n'!$F$17,'3n 2n 2n 2n'!$F$21,'3n 2n 2n 2n'!$F$25,'3n 2n 2n 2n'!$F$29,'3n 2n 2n 2n'!$F$33,'3n 2n 2n 2n'!$F$37</definedName>
    <definedName name="va1b1">'3n 3n 2n 2n 2n'!$G$15:$G$22</definedName>
    <definedName name="va1b2">'3n 3n 2n 2n 2n'!$G$23:$G$30</definedName>
    <definedName name="va1b3">'3n 3n 2n 2n 2n'!$G$31:$G$38</definedName>
    <definedName name="va1c1">'3n 3n 2n 2n 2n'!$G$15:$G$18,'3n 3n 2n 2n 2n'!$G$23:$G$26,'3n 3n 2n 2n 2n'!$G$31:$G$34</definedName>
    <definedName name="va1c2">'3n 3n 2n 2n 2n'!$G$35:$G$38,'3n 3n 2n 2n 2n'!$G$27:$G$30,'3n 3n 2n 2n 2n'!$G$19:$G$22</definedName>
    <definedName name="va1d1">'3n 3n 2n 2n 2n'!$G$15:$G$16,'3n 3n 2n 2n 2n'!$G$19:$G$20,'3n 3n 2n 2n 2n'!$G$23:$G$24,'3n 3n 2n 2n 2n'!$G$27:$G$28,'3n 3n 2n 2n 2n'!$G$31:$G$32,'3n 3n 2n 2n 2n'!$G$35:$G$36</definedName>
    <definedName name="va1d2">'3n 3n 2n 2n 2n'!$G$17:$G$18,'3n 3n 2n 2n 2n'!$G$21:$G$22,'3n 3n 2n 2n 2n'!$G$25:$G$26,'3n 3n 2n 2n 2n'!$G$29:$G$30,'3n 3n 2n 2n 2n'!$G$33:$G$34,'3n 3n 2n 2n 2n'!$G$37:$G$38</definedName>
    <definedName name="va1e1">'3n 3n 2n 2n 2n'!$G$15,'3n 3n 2n 2n 2n'!$G$17,'3n 3n 2n 2n 2n'!$G$19,'3n 3n 2n 2n 2n'!$G$21,'3n 3n 2n 2n 2n'!$G$23,'3n 3n 2n 2n 2n'!$G$25,'3n 3n 2n 2n 2n'!$G$27,'3n 3n 2n 2n 2n'!$G$29,'3n 3n 2n 2n 2n'!$G$31,'3n 3n 2n 2n 2n'!$G$33,'3n 3n 2n 2n 2n'!$G$35,'3n 3n 2n 2n 2n'!$G$37</definedName>
    <definedName name="va1e2">'3n 3n 2n 2n 2n'!$G$38,'3n 3n 2n 2n 2n'!$G$36,'3n 3n 2n 2n 2n'!$G$34,'3n 3n 2n 2n 2n'!$G$32,'3n 3n 2n 2n 2n'!$G$30,'3n 3n 2n 2n 2n'!$G$28,'3n 3n 2n 2n 2n'!$G$26,'3n 3n 2n 2n 2n'!$G$24,'3n 3n 2n 2n 2n'!$G$22,'3n 3n 2n 2n 2n'!$G$20,'3n 3n 2n 2n 2n'!$G$18,'3n 3n 2n 2n 2n'!$G$16</definedName>
    <definedName name="va2b1">'3n 3n 2n 2n 2n'!$G$39:$G$46</definedName>
    <definedName name="va2b2">'3n 3n 2n 2n 2n'!$G$47:$G$54</definedName>
    <definedName name="va2b3">'3n 3n 2n 2n 2n'!$G$55:$G$62</definedName>
    <definedName name="va2c1">'3n 3n 2n 2n 2n'!$G$39:$G$42,'3n 3n 2n 2n 2n'!$G$47:$G$50,'3n 3n 2n 2n 2n'!$G$55:$G$58</definedName>
    <definedName name="va2c2">'3n 3n 2n 2n 2n'!$G$59:$G$62,'3n 3n 2n 2n 2n'!$G$51:$G$54,'3n 3n 2n 2n 2n'!$G$43:$G$46</definedName>
    <definedName name="va2d1">'3n 3n 2n 2n 2n'!$G$39:$G$40,'3n 3n 2n 2n 2n'!$G$43:$G$44,'3n 3n 2n 2n 2n'!$G$47:$G$48,'3n 3n 2n 2n 2n'!$G$51:$G$52,'3n 3n 2n 2n 2n'!$G$55:$G$56,'3n 3n 2n 2n 2n'!$G$59:$G$60</definedName>
    <definedName name="va2d2">'3n 3n 2n 2n 2n'!$G$61:$G$62,'3n 3n 2n 2n 2n'!$G$57:$G$58,'3n 3n 2n 2n 2n'!$G$53:$G$54,'3n 3n 2n 2n 2n'!$G$49:$G$50,'3n 3n 2n 2n 2n'!$G$45:$G$46,'3n 3n 2n 2n 2n'!$G$41:$G$42</definedName>
    <definedName name="va2e1">'3n 3n 2n 2n 2n'!$G$39,'3n 3n 2n 2n 2n'!$G$41,'3n 3n 2n 2n 2n'!$G$43,'3n 3n 2n 2n 2n'!$G$45,'3n 3n 2n 2n 2n'!$G$47,'3n 3n 2n 2n 2n'!$G$49,'3n 3n 2n 2n 2n'!$G$51,'3n 3n 2n 2n 2n'!$G$53,'3n 3n 2n 2n 2n'!$G$55,'3n 3n 2n 2n 2n'!$G$57,'3n 3n 2n 2n 2n'!$G$59,'3n 3n 2n 2n 2n'!$G$61</definedName>
    <definedName name="va2e2">'3n 3n 2n 2n 2n'!$G$62,'3n 3n 2n 2n 2n'!$G$60,'3n 3n 2n 2n 2n'!$G$58,'3n 3n 2n 2n 2n'!$G$56,'3n 3n 2n 2n 2n'!$G$54,'3n 3n 2n 2n 2n'!$G$52,'3n 3n 2n 2n 2n'!$G$50,'3n 3n 2n 2n 2n'!$G$48,'3n 3n 2n 2n 2n'!$G$46,'3n 3n 2n 2n 2n'!$G$44,'3n 3n 2n 2n 2n'!$G$42,'3n 3n 2n 2n 2n'!$G$40</definedName>
    <definedName name="va3b1">'3n 3n 2n 2n 2n'!$G$63:$G$70</definedName>
    <definedName name="va3b2">'3n 3n 2n 2n 2n'!$G$71:$G$78</definedName>
    <definedName name="va3b3">'3n 3n 2n 2n 2n'!$G$79:$G$86</definedName>
    <definedName name="va3c1">'3n 3n 2n 2n 2n'!$G$63:$G$66,'3n 3n 2n 2n 2n'!$G$71:$G$74,'3n 3n 2n 2n 2n'!$G$79:$G$82</definedName>
    <definedName name="va3c2">'3n 3n 2n 2n 2n'!$G$83:$G$86,'3n 3n 2n 2n 2n'!$G$75:$G$78,'3n 3n 2n 2n 2n'!$G$67:$G$70</definedName>
    <definedName name="va3d1">'3n 3n 2n 2n 2n'!$G$63:$G$64,'3n 3n 2n 2n 2n'!$G$67:$G$68,'3n 3n 2n 2n 2n'!$G$71:$G$72,'3n 3n 2n 2n 2n'!$G$75:$G$76,'3n 3n 2n 2n 2n'!$G$79:$G$80,'3n 3n 2n 2n 2n'!$G$83:$G$84</definedName>
    <definedName name="va3d2">'3n 3n 2n 2n 2n'!$G$85:$G$86,'3n 3n 2n 2n 2n'!$G$81:$G$82,'3n 3n 2n 2n 2n'!$G$77:$G$78,'3n 3n 2n 2n 2n'!$G$73:$G$74,'3n 3n 2n 2n 2n'!$G$69:$G$70,'3n 3n 2n 2n 2n'!$G$65:$G$66</definedName>
    <definedName name="va3e1">'3n 3n 2n 2n 2n'!$G$63,'3n 3n 2n 2n 2n'!$G$65,'3n 3n 2n 2n 2n'!$G$67,'3n 3n 2n 2n 2n'!$G$69,'3n 3n 2n 2n 2n'!$G$71,'3n 3n 2n 2n 2n'!$G$73,'3n 3n 2n 2n 2n'!$G$75,'3n 3n 2n 2n 2n'!$G$77,'3n 3n 2n 2n 2n'!$G$79,'3n 3n 2n 2n 2n'!$G$81,'3n 3n 2n 2n 2n'!$G$83,'3n 3n 2n 2n 2n'!$G$85</definedName>
    <definedName name="va3e2">'3n 3n 2n 2n 2n'!$G$86,'3n 3n 2n 2n 2n'!$G$84,'3n 3n 2n 2n 2n'!$G$82,'3n 3n 2n 2n 2n'!$G$80,'3n 3n 2n 2n 2n'!$G$78,'3n 3n 2n 2n 2n'!$G$76,'3n 3n 2n 2n 2n'!$G$74,'3n 3n 2n 2n 2n'!$G$72,'3n 3n 2n 2n 2n'!$G$70,'3n 3n 2n 2n 2n'!$G$68,'3n 3n 2n 2n 2n'!$G$66,'3n 3n 2n 2n 2n'!$G$64</definedName>
    <definedName name="vb1c1">'3n 3n 2n 2n 2n'!$G$15:$G$18,'3n 3n 2n 2n 2n'!$G$39:$G$42,'3n 3n 2n 2n 2n'!$G$63:$G$66</definedName>
    <definedName name="vb1c2">'3n 3n 2n 2n 2n'!$G$19:$G$22,'3n 3n 2n 2n 2n'!$G$43:$G$46,'3n 3n 2n 2n 2n'!$G$67:$G$70</definedName>
    <definedName name="vb1d1">'3n 3n 2n 2n 2n'!$G$15:$G$16,'3n 3n 2n 2n 2n'!$G$19:$G$20,'3n 3n 2n 2n 2n'!$G$39:$G$40,'3n 3n 2n 2n 2n'!$G$43:$G$44,'3n 3n 2n 2n 2n'!$G$63:$G$64,'3n 3n 2n 2n 2n'!$G$67:$G$68</definedName>
    <definedName name="vb1d2">'3n 3n 2n 2n 2n'!$G$17:$G$18,'3n 3n 2n 2n 2n'!$G$21:$G$22,'3n 3n 2n 2n 2n'!$G$41:$G$42,'3n 3n 2n 2n 2n'!$G$45:$G$46,'3n 3n 2n 2n 2n'!$G$65:$G$66,'3n 3n 2n 2n 2n'!$G$69:$G$70</definedName>
    <definedName name="vb1e1">'3n 3n 2n 2n 2n'!$G$15,'3n 3n 2n 2n 2n'!$G$17,'3n 3n 2n 2n 2n'!$G$19,'3n 3n 2n 2n 2n'!$G$21,'3n 3n 2n 2n 2n'!$G$39,'3n 3n 2n 2n 2n'!$G$41,'3n 3n 2n 2n 2n'!$G$43,'3n 3n 2n 2n 2n'!$G$45,'3n 3n 2n 2n 2n'!$G$63,'3n 3n 2n 2n 2n'!$G$65,'3n 3n 2n 2n 2n'!$G$67,'3n 3n 2n 2n 2n'!$G$69</definedName>
    <definedName name="vb1e2">'3n 3n 2n 2n 2n'!$G$16,'3n 3n 2n 2n 2n'!$G$18,'3n 3n 2n 2n 2n'!$G$20,'3n 3n 2n 2n 2n'!$G$22,'3n 3n 2n 2n 2n'!$G$40,'3n 3n 2n 2n 2n'!$G$42,'3n 3n 2n 2n 2n'!$G$44,'3n 3n 2n 2n 2n'!$G$46,'3n 3n 2n 2n 2n'!$G$64,'3n 3n 2n 2n 2n'!$G$66,'3n 3n 2n 2n 2n'!$G$68,'3n 3n 2n 2n 2n'!$G$70</definedName>
    <definedName name="vb2c1">'3n 3n 2n 2n 2n'!$G$23:$G$26,'3n 3n 2n 2n 2n'!$G$47:$G$50,'3n 3n 2n 2n 2n'!$G$71:$G$74</definedName>
    <definedName name="vb2c2">'3n 3n 2n 2n 2n'!$G$27:$G$30,'3n 3n 2n 2n 2n'!$G$51:$G$54,'3n 3n 2n 2n 2n'!$G$75:$G$78</definedName>
    <definedName name="vb2d1">'3n 3n 2n 2n 2n'!$G$23:$G$24,'3n 3n 2n 2n 2n'!$G$27:$G$28,'3n 3n 2n 2n 2n'!$G$47:$G$48,'3n 3n 2n 2n 2n'!$G$51:$G$52,'3n 3n 2n 2n 2n'!$G$71:$G$72,'3n 3n 2n 2n 2n'!$G$75:$G$76</definedName>
    <definedName name="vb2d2">'3n 3n 2n 2n 2n'!$G$25:$G$26,'3n 3n 2n 2n 2n'!$G$29:$G$30,'3n 3n 2n 2n 2n'!$G$49:$G$50,'3n 3n 2n 2n 2n'!$G$53:$G$54,'3n 3n 2n 2n 2n'!$G$73:$G$74,'3n 3n 2n 2n 2n'!$G$77:$G$78</definedName>
    <definedName name="vb2e1">'3n 3n 2n 2n 2n'!$G$23,'3n 3n 2n 2n 2n'!$G$25,'3n 3n 2n 2n 2n'!$G$27,'3n 3n 2n 2n 2n'!$G$29,'3n 3n 2n 2n 2n'!$G$47,'3n 3n 2n 2n 2n'!$G$49,'3n 3n 2n 2n 2n'!$G$51,'3n 3n 2n 2n 2n'!$G$53,'3n 3n 2n 2n 2n'!$G$71,'3n 3n 2n 2n 2n'!$G$73,'3n 3n 2n 2n 2n'!$G$75,'3n 3n 2n 2n 2n'!$G$77</definedName>
    <definedName name="vb2e2">'3n 3n 2n 2n 2n'!$G$24,'3n 3n 2n 2n 2n'!$G$26,'3n 3n 2n 2n 2n'!$G$28,'3n 3n 2n 2n 2n'!$G$30,'3n 3n 2n 2n 2n'!$G$48,'3n 3n 2n 2n 2n'!$G$50,'3n 3n 2n 2n 2n'!$G$52,'3n 3n 2n 2n 2n'!$G$54,'3n 3n 2n 2n 2n'!$G$72,'3n 3n 2n 2n 2n'!$G$74,'3n 3n 2n 2n 2n'!$G$76,'3n 3n 2n 2n 2n'!$G$78</definedName>
    <definedName name="vb3c1">'3n 3n 2n 2n 2n'!$G$31:$G$34,'3n 3n 2n 2n 2n'!$G$55:$G$58,'3n 3n 2n 2n 2n'!$G$79:$G$82</definedName>
    <definedName name="vb3c2">'3n 3n 2n 2n 2n'!$G$35:$G$38,'3n 3n 2n 2n 2n'!$G$59:$G$62,'3n 3n 2n 2n 2n'!$G$83:$G$86</definedName>
    <definedName name="vb3d1">'3n 3n 2n 2n 2n'!$G$31:$G$32,'3n 3n 2n 2n 2n'!$G$35:$G$36,'3n 3n 2n 2n 2n'!$G$55:$G$56,'3n 3n 2n 2n 2n'!$G$59:$G$60,'3n 3n 2n 2n 2n'!$G$79:$G$80,'3n 3n 2n 2n 2n'!$G$83:$G$84</definedName>
    <definedName name="vb3d2">'3n 3n 2n 2n 2n'!$G$33:$G$34,'3n 3n 2n 2n 2n'!$G$37:$G$38,'3n 3n 2n 2n 2n'!$G$57:$G$58,'3n 3n 2n 2n 2n'!$G$61:$G$62,'3n 3n 2n 2n 2n'!$G$81:$G$82,'3n 3n 2n 2n 2n'!$G$85:$G$86</definedName>
    <definedName name="vb3e1">'3n 3n 2n 2n 2n'!$G$31,'3n 3n 2n 2n 2n'!$G$33,'3n 3n 2n 2n 2n'!$G$35,'3n 3n 2n 2n 2n'!$G$37,'3n 3n 2n 2n 2n'!$G$55,'3n 3n 2n 2n 2n'!$G$57,'3n 3n 2n 2n 2n'!$G$59,'3n 3n 2n 2n 2n'!$G$61,'3n 3n 2n 2n 2n'!$G$79,'3n 3n 2n 2n 2n'!$G$81,'3n 3n 2n 2n 2n'!$G$83,'3n 3n 2n 2n 2n'!$G$85</definedName>
    <definedName name="vb3e2">'3n 3n 2n 2n 2n'!$G$32,'3n 3n 2n 2n 2n'!$G$34,'3n 3n 2n 2n 2n'!$G$36,'3n 3n 2n 2n 2n'!$G$38,'3n 3n 2n 2n 2n'!$G$56,'3n 3n 2n 2n 2n'!$G$58,'3n 3n 2n 2n 2n'!$G$60,'3n 3n 2n 2n 2n'!$G$62,'3n 3n 2n 2n 2n'!$G$80,'3n 3n 2n 2n 2n'!$G$82,'3n 3n 2n 2n 2n'!$G$84,'3n 3n 2n 2n 2n'!$G$86</definedName>
    <definedName name="vc1d1">'3n 3n 2n 2n 2n'!$G$15:$G$16,'3n 3n 2n 2n 2n'!$G$23:$G$24,'3n 3n 2n 2n 2n'!$G$31:$G$32,'3n 3n 2n 2n 2n'!$G$39:$G$40,'3n 3n 2n 2n 2n'!$G$47:$G$48,'3n 3n 2n 2n 2n'!$G$55:$G$56,'3n 3n 2n 2n 2n'!$G$63:$G$64,'3n 3n 2n 2n 2n'!$G$71:$G$72,'3n 3n 2n 2n 2n'!$G$79:$G$80</definedName>
    <definedName name="vc1d2">'3n 3n 2n 2n 2n'!$G$17:$G$18,'3n 3n 2n 2n 2n'!$G$25:$G$26,'3n 3n 2n 2n 2n'!$G$33:$G$34,'3n 3n 2n 2n 2n'!$G$41:$G$42,'3n 3n 2n 2n 2n'!$G$49:$G$50,'3n 3n 2n 2n 2n'!$G$57:$G$58,'3n 3n 2n 2n 2n'!$G$65:$G$66,'3n 3n 2n 2n 2n'!$G$73:$G$74,'3n 3n 2n 2n 2n'!$G$81:$G$82</definedName>
    <definedName name="vc1e1">'3n 3n 2n 2n 2n'!$G$15,'3n 3n 2n 2n 2n'!$G$17,'3n 3n 2n 2n 2n'!$G$23,'3n 3n 2n 2n 2n'!$G$25,'3n 3n 2n 2n 2n'!$G$31,'3n 3n 2n 2n 2n'!$G$33,'3n 3n 2n 2n 2n'!$G$39,'3n 3n 2n 2n 2n'!$G$41,'3n 3n 2n 2n 2n'!$G$47,'3n 3n 2n 2n 2n'!$G$49,'3n 3n 2n 2n 2n'!$G$55,'3n 3n 2n 2n 2n'!$G$57,'3n 3n 2n 2n 2n'!$G$63,'3n 3n 2n 2n 2n'!$G$65,'3n 3n 2n 2n 2n'!$G$71,'3n 3n 2n 2n 2n'!$G$73,'3n 3n 2n 2n 2n'!$G$79,'3n 3n 2n 2n 2n'!$G$81</definedName>
    <definedName name="vc1e2">'3n 3n 2n 2n 2n'!$G$16,'3n 3n 2n 2n 2n'!$G$18,'3n 3n 2n 2n 2n'!$G$24,'3n 3n 2n 2n 2n'!$G$26,'3n 3n 2n 2n 2n'!$G$32,'3n 3n 2n 2n 2n'!$G$34,'3n 3n 2n 2n 2n'!$G$40,'3n 3n 2n 2n 2n'!$G$42,'3n 3n 2n 2n 2n'!$G$48,'3n 3n 2n 2n 2n'!$G$50,'3n 3n 2n 2n 2n'!$G$56,'3n 3n 2n 2n 2n'!$G$58,'3n 3n 2n 2n 2n'!$G$64,'3n 3n 2n 2n 2n'!$G$66,'3n 3n 2n 2n 2n'!$G$72,'3n 3n 2n 2n 2n'!$G$74,'3n 3n 2n 2n 2n'!$G$80,'3n 3n 2n 2n 2n'!$G$82</definedName>
    <definedName name="vc2d1">'3n 3n 2n 2n 2n'!$G$19:$G$20,'3n 3n 2n 2n 2n'!$G$27:$G$28,'3n 3n 2n 2n 2n'!$G$35:$G$36,'3n 3n 2n 2n 2n'!$G$43:$G$44,'3n 3n 2n 2n 2n'!$G$51:$G$52,'3n 3n 2n 2n 2n'!$G$59:$G$60,'3n 3n 2n 2n 2n'!$G$67:$G$68,'3n 3n 2n 2n 2n'!$G$75:$G$76,'3n 3n 2n 2n 2n'!$G$83:$G$84</definedName>
    <definedName name="vc2d2">'3n 3n 2n 2n 2n'!$G$21:$G$22,'3n 3n 2n 2n 2n'!$G$29:$G$30,'3n 3n 2n 2n 2n'!$G$37:$G$38,'3n 3n 2n 2n 2n'!$G$45:$G$46,'3n 3n 2n 2n 2n'!$G$53:$G$54,'3n 3n 2n 2n 2n'!$G$61:$G$62,'3n 3n 2n 2n 2n'!$G$69:$G$70,'3n 3n 2n 2n 2n'!$G$77:$G$78,'3n 3n 2n 2n 2n'!$G$85:$G$86</definedName>
    <definedName name="vc2e1">'3n 3n 2n 2n 2n'!$G$19,'3n 3n 2n 2n 2n'!$G$21,'3n 3n 2n 2n 2n'!$G$27,'3n 3n 2n 2n 2n'!$G$29,'3n 3n 2n 2n 2n'!$G$35,'3n 3n 2n 2n 2n'!$G$37,'3n 3n 2n 2n 2n'!$G$43,'3n 3n 2n 2n 2n'!$G$45,'3n 3n 2n 2n 2n'!$G$51,'3n 3n 2n 2n 2n'!$G$53,'3n 3n 2n 2n 2n'!$G$59,'3n 3n 2n 2n 2n'!$G$61,'3n 3n 2n 2n 2n'!$G$67,'3n 3n 2n 2n 2n'!$G$69,'3n 3n 2n 2n 2n'!$G$75,'3n 3n 2n 2n 2n'!$G$77,'3n 3n 2n 2n 2n'!$G$83,'3n 3n 2n 2n 2n'!$G$85</definedName>
    <definedName name="vc2e2">'3n 3n 2n 2n 2n'!$G$20,'3n 3n 2n 2n 2n'!$G$22,'3n 3n 2n 2n 2n'!$G$28,'3n 3n 2n 2n 2n'!$G$30,'3n 3n 2n 2n 2n'!$G$36,'3n 3n 2n 2n 2n'!$G$38,'3n 3n 2n 2n 2n'!$G$44,'3n 3n 2n 2n 2n'!$G$46,'3n 3n 2n 2n 2n'!$G$52,'3n 3n 2n 2n 2n'!$G$54,'3n 3n 2n 2n 2n'!$G$60,'3n 3n 2n 2n 2n'!$G$62,'3n 3n 2n 2n 2n'!$G$68,'3n 3n 2n 2n 2n'!$G$70,'3n 3n 2n 2n 2n'!$G$76,'3n 3n 2n 2n 2n'!$G$78,'3n 3n 2n 2n 2n'!$G$84,'3n 3n 2n 2n 2n'!$G$86</definedName>
    <definedName name="vd1e1">'3n 3n 2n 2n 2n'!$G$15,'3n 3n 2n 2n 2n'!$G$19,'3n 3n 2n 2n 2n'!$G$23,'3n 3n 2n 2n 2n'!$G$27,'3n 3n 2n 2n 2n'!$G$31,'3n 3n 2n 2n 2n'!$G$35,'3n 3n 2n 2n 2n'!$G$39,'3n 3n 2n 2n 2n'!$G$43,'3n 3n 2n 2n 2n'!$G$47,'3n 3n 2n 2n 2n'!$G$51,'3n 3n 2n 2n 2n'!$G$55,'3n 3n 2n 2n 2n'!$G$59,'3n 3n 2n 2n 2n'!$G$63,'3n 3n 2n 2n 2n'!$G$67,'3n 3n 2n 2n 2n'!$G$71,'3n 3n 2n 2n 2n'!$G$75,'3n 3n 2n 2n 2n'!$G$79,'3n 3n 2n 2n 2n'!$G$83</definedName>
    <definedName name="vd1e2">'3n 3n 2n 2n 2n'!$G$16,'3n 3n 2n 2n 2n'!$G$20,'3n 3n 2n 2n 2n'!$G$24,'3n 3n 2n 2n 2n'!$G$28,'3n 3n 2n 2n 2n'!$G$32,'3n 3n 2n 2n 2n'!$G$36,'3n 3n 2n 2n 2n'!$G$40,'3n 3n 2n 2n 2n'!$G$44,'3n 3n 2n 2n 2n'!$G$48,'3n 3n 2n 2n 2n'!$G$52,'3n 3n 2n 2n 2n'!$G$56,'3n 3n 2n 2n 2n'!$G$60,'3n 3n 2n 2n 2n'!$G$64,'3n 3n 2n 2n 2n'!$G$68,'3n 3n 2n 2n 2n'!$G$72,'3n 3n 2n 2n 2n'!$G$76,'3n 3n 2n 2n 2n'!$G$80,'3n 3n 2n 2n 2n'!$G$84</definedName>
    <definedName name="vd2e1">'3n 3n 2n 2n 2n'!$G$17,'3n 3n 2n 2n 2n'!$G$21,'3n 3n 2n 2n 2n'!$G$25,'3n 3n 2n 2n 2n'!$G$29,'3n 3n 2n 2n 2n'!$G$33,'3n 3n 2n 2n 2n'!$G$37,'3n 3n 2n 2n 2n'!$G$41,'3n 3n 2n 2n 2n'!$G$45,'3n 3n 2n 2n 2n'!$G$49,'3n 3n 2n 2n 2n'!$G$53,'3n 3n 2n 2n 2n'!$G$57,'3n 3n 2n 2n 2n'!$G$61,'3n 3n 2n 2n 2n'!$G$65,'3n 3n 2n 2n 2n'!$G$69,'3n 3n 2n 2n 2n'!$G$73,'3n 3n 2n 2n 2n'!$G$77,'3n 3n 2n 2n 2n'!$G$81,'3n 3n 2n 2n 2n'!$G$85</definedName>
    <definedName name="vd2e2">'3n 3n 2n 2n 2n'!$G$18,'3n 3n 2n 2n 2n'!$G$22,'3n 3n 2n 2n 2n'!$G$26,'3n 3n 2n 2n 2n'!$G$30,'3n 3n 2n 2n 2n'!$G$34,'3n 3n 2n 2n 2n'!$G$38,'3n 3n 2n 2n 2n'!$G$42,'3n 3n 2n 2n 2n'!$G$46,'3n 3n 2n 2n 2n'!$G$50,'3n 3n 2n 2n 2n'!$G$54,'3n 3n 2n 2n 2n'!$G$58,'3n 3n 2n 2n 2n'!$G$62,'3n 3n 2n 2n 2n'!$G$66,'3n 3n 2n 2n 2n'!$G$70,'3n 3n 2n 2n 2n'!$G$74,'3n 3n 2n 2n 2n'!$G$78,'3n 3n 2n 2n 2n'!$G$82,'3n 3n 2n 2n 2n'!$G$86</definedName>
    <definedName name="xdata1" hidden="1">0+(ROW(OFFSET(#REF!,0,0,70,1))-1)*0.869565217391304</definedName>
    <definedName name="xdata2" hidden="1">0+(ROW(OFFSET(#REF!,0,0,70,1))-1)*0.869565217391304</definedName>
    <definedName name="ydata1" hidden="1">0+1*[0]!xdata1-39.3308301220399*(1.16666666666667+([0]!xdata1-602)^2/19918.6666666667)^0.5</definedName>
    <definedName name="ydata2" hidden="1">0+1*[0]!xdata2+39.3308301220399*(1.16666666666667+([0]!xdata2-602)^2/19918.6666666667)^0.5</definedName>
  </definedNames>
  <calcPr calcId="125725"/>
</workbook>
</file>

<file path=xl/calcChain.xml><?xml version="1.0" encoding="utf-8"?>
<calcChain xmlns="http://schemas.openxmlformats.org/spreadsheetml/2006/main">
  <c r="E52" i="2"/>
  <c r="F52" s="1"/>
  <c r="E53"/>
  <c r="F53" s="1"/>
  <c r="E54"/>
  <c r="F54" s="1"/>
  <c r="E55"/>
  <c r="F55" s="1"/>
  <c r="E56"/>
  <c r="F56" s="1"/>
  <c r="E51"/>
  <c r="F51" s="1"/>
  <c r="E46"/>
  <c r="F46" s="1"/>
  <c r="E47"/>
  <c r="F47" s="1"/>
  <c r="E48"/>
  <c r="F48" s="1"/>
  <c r="E49"/>
  <c r="F49" s="1"/>
  <c r="E50"/>
  <c r="F50" s="1"/>
  <c r="E45"/>
  <c r="F45" s="1"/>
  <c r="E40"/>
  <c r="F40" s="1"/>
  <c r="E41"/>
  <c r="F41" s="1"/>
  <c r="E42"/>
  <c r="F42" s="1"/>
  <c r="E43"/>
  <c r="F43" s="1"/>
  <c r="E44"/>
  <c r="F44" s="1"/>
  <c r="E39"/>
  <c r="F39" s="1"/>
  <c r="E34"/>
  <c r="F34" s="1"/>
  <c r="E35"/>
  <c r="F35" s="1"/>
  <c r="E36"/>
  <c r="F36" s="1"/>
  <c r="E37"/>
  <c r="F37" s="1"/>
  <c r="E38"/>
  <c r="F38" s="1"/>
  <c r="E33"/>
  <c r="F33" s="1"/>
  <c r="E28"/>
  <c r="F28" s="1"/>
  <c r="E29"/>
  <c r="F29" s="1"/>
  <c r="E30"/>
  <c r="F30" s="1"/>
  <c r="E31"/>
  <c r="F31" s="1"/>
  <c r="E32"/>
  <c r="F32" s="1"/>
  <c r="E27"/>
  <c r="F27" s="1"/>
  <c r="E66" i="3"/>
  <c r="F66" s="1"/>
  <c r="E67"/>
  <c r="F67" s="1"/>
  <c r="E68"/>
  <c r="F68" s="1"/>
  <c r="E69"/>
  <c r="F69" s="1"/>
  <c r="E70"/>
  <c r="F70" s="1"/>
  <c r="E71"/>
  <c r="F71" s="1"/>
  <c r="E72"/>
  <c r="F72" s="1"/>
  <c r="E73"/>
  <c r="F73" s="1"/>
  <c r="E65"/>
  <c r="F65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E56"/>
  <c r="F56" s="1"/>
  <c r="E48"/>
  <c r="F48" s="1"/>
  <c r="E49"/>
  <c r="F49" s="1"/>
  <c r="E50"/>
  <c r="F50" s="1"/>
  <c r="E51"/>
  <c r="F51" s="1"/>
  <c r="E52"/>
  <c r="F52" s="1"/>
  <c r="E53"/>
  <c r="F53" s="1"/>
  <c r="E54"/>
  <c r="F54" s="1"/>
  <c r="E55"/>
  <c r="F55" s="1"/>
  <c r="E47"/>
  <c r="F47" s="1"/>
  <c r="E39"/>
  <c r="F39" s="1"/>
  <c r="E40"/>
  <c r="F40" s="1"/>
  <c r="E41"/>
  <c r="F41" s="1"/>
  <c r="E42"/>
  <c r="F42" s="1"/>
  <c r="E43"/>
  <c r="F43" s="1"/>
  <c r="E44"/>
  <c r="F44" s="1"/>
  <c r="E45"/>
  <c r="F45" s="1"/>
  <c r="E46"/>
  <c r="F46" s="1"/>
  <c r="E38"/>
  <c r="F38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29"/>
  <c r="F29" s="1"/>
  <c r="F83" i="4"/>
  <c r="G83" s="1"/>
  <c r="F84"/>
  <c r="G84" s="1"/>
  <c r="F85"/>
  <c r="G85" s="1"/>
  <c r="F86"/>
  <c r="G86" s="1"/>
  <c r="F87"/>
  <c r="G87" s="1"/>
  <c r="F88"/>
  <c r="G88" s="1"/>
  <c r="F89"/>
  <c r="G89" s="1"/>
  <c r="F90"/>
  <c r="G90" s="1"/>
  <c r="F91"/>
  <c r="G91" s="1"/>
  <c r="F92"/>
  <c r="G92" s="1"/>
  <c r="F93"/>
  <c r="G93" s="1"/>
  <c r="F82"/>
  <c r="G82" s="1"/>
  <c r="F71"/>
  <c r="G71" s="1"/>
  <c r="F72"/>
  <c r="G72" s="1"/>
  <c r="F73"/>
  <c r="G73" s="1"/>
  <c r="F74"/>
  <c r="G74" s="1"/>
  <c r="F75"/>
  <c r="G75" s="1"/>
  <c r="F76"/>
  <c r="G76" s="1"/>
  <c r="F77"/>
  <c r="G77" s="1"/>
  <c r="F78"/>
  <c r="G78" s="1"/>
  <c r="F79"/>
  <c r="G79" s="1"/>
  <c r="F80"/>
  <c r="G80" s="1"/>
  <c r="F81"/>
  <c r="G81" s="1"/>
  <c r="F70"/>
  <c r="G70" s="1"/>
  <c r="F59"/>
  <c r="G59" s="1"/>
  <c r="F60"/>
  <c r="G60" s="1"/>
  <c r="F61"/>
  <c r="G61" s="1"/>
  <c r="F62"/>
  <c r="G62" s="1"/>
  <c r="F63"/>
  <c r="G63" s="1"/>
  <c r="F64"/>
  <c r="G64" s="1"/>
  <c r="F65"/>
  <c r="G65" s="1"/>
  <c r="F66"/>
  <c r="G66" s="1"/>
  <c r="F67"/>
  <c r="G67" s="1"/>
  <c r="F68"/>
  <c r="G68" s="1"/>
  <c r="F69"/>
  <c r="G69" s="1"/>
  <c r="F58"/>
  <c r="G58" s="1"/>
  <c r="F47"/>
  <c r="G47" s="1"/>
  <c r="F48"/>
  <c r="G48" s="1"/>
  <c r="F49"/>
  <c r="G49" s="1"/>
  <c r="F50"/>
  <c r="G50" s="1"/>
  <c r="F51"/>
  <c r="G51" s="1"/>
  <c r="F52"/>
  <c r="G52" s="1"/>
  <c r="F53"/>
  <c r="G53" s="1"/>
  <c r="F54"/>
  <c r="G54" s="1"/>
  <c r="F55"/>
  <c r="G55" s="1"/>
  <c r="F56"/>
  <c r="G56" s="1"/>
  <c r="F57"/>
  <c r="G57" s="1"/>
  <c r="F46"/>
  <c r="G46" s="1"/>
  <c r="F35"/>
  <c r="G35" s="1"/>
  <c r="F36"/>
  <c r="G36" s="1"/>
  <c r="F37"/>
  <c r="G37" s="1"/>
  <c r="F38"/>
  <c r="G38" s="1"/>
  <c r="F39"/>
  <c r="G39" s="1"/>
  <c r="F40"/>
  <c r="G40" s="1"/>
  <c r="F41"/>
  <c r="G41" s="1"/>
  <c r="F42"/>
  <c r="G42" s="1"/>
  <c r="F43"/>
  <c r="G43" s="1"/>
  <c r="F44"/>
  <c r="G44" s="1"/>
  <c r="F45"/>
  <c r="G45" s="1"/>
  <c r="F34"/>
  <c r="G34" s="1"/>
  <c r="F113" i="5"/>
  <c r="G113" s="1"/>
  <c r="F114"/>
  <c r="G114" s="1"/>
  <c r="F115"/>
  <c r="G115" s="1"/>
  <c r="F116"/>
  <c r="G116" s="1"/>
  <c r="F117"/>
  <c r="G117" s="1"/>
  <c r="F118"/>
  <c r="G118" s="1"/>
  <c r="F119"/>
  <c r="G119" s="1"/>
  <c r="F120"/>
  <c r="G120" s="1"/>
  <c r="F121"/>
  <c r="G121" s="1"/>
  <c r="F122"/>
  <c r="G122" s="1"/>
  <c r="F123"/>
  <c r="G123" s="1"/>
  <c r="F124"/>
  <c r="G124" s="1"/>
  <c r="F125"/>
  <c r="G125" s="1"/>
  <c r="F126"/>
  <c r="G126" s="1"/>
  <c r="F127"/>
  <c r="G127" s="1"/>
  <c r="F128"/>
  <c r="G128" s="1"/>
  <c r="F129"/>
  <c r="G129" s="1"/>
  <c r="F112"/>
  <c r="G112" s="1"/>
  <c r="F95"/>
  <c r="G95" s="1"/>
  <c r="F96"/>
  <c r="G96" s="1"/>
  <c r="F97"/>
  <c r="G97" s="1"/>
  <c r="F98"/>
  <c r="G98" s="1"/>
  <c r="F99"/>
  <c r="G99" s="1"/>
  <c r="F100"/>
  <c r="G100" s="1"/>
  <c r="F101"/>
  <c r="G101" s="1"/>
  <c r="F102"/>
  <c r="G102" s="1"/>
  <c r="F103"/>
  <c r="G103" s="1"/>
  <c r="F104"/>
  <c r="G104" s="1"/>
  <c r="F105"/>
  <c r="G105" s="1"/>
  <c r="F106"/>
  <c r="G106" s="1"/>
  <c r="F107"/>
  <c r="G107" s="1"/>
  <c r="F108"/>
  <c r="G108" s="1"/>
  <c r="F109"/>
  <c r="G109" s="1"/>
  <c r="F110"/>
  <c r="G110" s="1"/>
  <c r="F111"/>
  <c r="G111" s="1"/>
  <c r="F94"/>
  <c r="G94" s="1"/>
  <c r="F77"/>
  <c r="G77" s="1"/>
  <c r="F78"/>
  <c r="G78" s="1"/>
  <c r="F79"/>
  <c r="G79" s="1"/>
  <c r="F80"/>
  <c r="G80" s="1"/>
  <c r="F81"/>
  <c r="G81" s="1"/>
  <c r="F82"/>
  <c r="G82" s="1"/>
  <c r="F83"/>
  <c r="G83" s="1"/>
  <c r="F84"/>
  <c r="G84" s="1"/>
  <c r="F85"/>
  <c r="G85" s="1"/>
  <c r="F86"/>
  <c r="G86" s="1"/>
  <c r="F87"/>
  <c r="G87" s="1"/>
  <c r="F88"/>
  <c r="G88" s="1"/>
  <c r="F89"/>
  <c r="G89" s="1"/>
  <c r="F90"/>
  <c r="G90" s="1"/>
  <c r="F91"/>
  <c r="G91" s="1"/>
  <c r="F92"/>
  <c r="G92" s="1"/>
  <c r="F93"/>
  <c r="G93" s="1"/>
  <c r="F76"/>
  <c r="G76" s="1"/>
  <c r="F59"/>
  <c r="G59" s="1"/>
  <c r="F60"/>
  <c r="G60" s="1"/>
  <c r="F61"/>
  <c r="G61" s="1"/>
  <c r="F62"/>
  <c r="G62" s="1"/>
  <c r="F63"/>
  <c r="G63" s="1"/>
  <c r="F64"/>
  <c r="G64" s="1"/>
  <c r="F65"/>
  <c r="G65" s="1"/>
  <c r="F66"/>
  <c r="G66" s="1"/>
  <c r="F67"/>
  <c r="G67" s="1"/>
  <c r="F68"/>
  <c r="G68" s="1"/>
  <c r="F69"/>
  <c r="G69" s="1"/>
  <c r="F70"/>
  <c r="G70" s="1"/>
  <c r="F71"/>
  <c r="G71" s="1"/>
  <c r="F72"/>
  <c r="G72" s="1"/>
  <c r="F73"/>
  <c r="G73" s="1"/>
  <c r="F74"/>
  <c r="G74" s="1"/>
  <c r="F75"/>
  <c r="G75" s="1"/>
  <c r="F58"/>
  <c r="G58" s="1"/>
  <c r="F41"/>
  <c r="G41" s="1"/>
  <c r="F42"/>
  <c r="G42" s="1"/>
  <c r="F43"/>
  <c r="G43" s="1"/>
  <c r="F44"/>
  <c r="G44" s="1"/>
  <c r="F45"/>
  <c r="G45" s="1"/>
  <c r="F46"/>
  <c r="G46" s="1"/>
  <c r="F47"/>
  <c r="G47" s="1"/>
  <c r="F48"/>
  <c r="G48" s="1"/>
  <c r="F49"/>
  <c r="G49" s="1"/>
  <c r="F50"/>
  <c r="G50" s="1"/>
  <c r="F51"/>
  <c r="G51" s="1"/>
  <c r="F52"/>
  <c r="G52" s="1"/>
  <c r="F53"/>
  <c r="G53" s="1"/>
  <c r="F54"/>
  <c r="G54" s="1"/>
  <c r="F55"/>
  <c r="G55" s="1"/>
  <c r="F56"/>
  <c r="G56" s="1"/>
  <c r="F57"/>
  <c r="G57" s="1"/>
  <c r="F40"/>
  <c r="G40" s="1"/>
  <c r="F158" i="6" l="1"/>
  <c r="G158" s="1"/>
  <c r="F159"/>
  <c r="G159" s="1"/>
  <c r="F160"/>
  <c r="G160" s="1"/>
  <c r="F161"/>
  <c r="G161" s="1"/>
  <c r="F162"/>
  <c r="G162" s="1"/>
  <c r="F163"/>
  <c r="G163" s="1"/>
  <c r="F164"/>
  <c r="G164" s="1"/>
  <c r="F165"/>
  <c r="G165" s="1"/>
  <c r="F166"/>
  <c r="G166" s="1"/>
  <c r="F167"/>
  <c r="G167" s="1"/>
  <c r="F168"/>
  <c r="G168" s="1"/>
  <c r="F169"/>
  <c r="G169" s="1"/>
  <c r="F170"/>
  <c r="G170" s="1"/>
  <c r="F171"/>
  <c r="G171" s="1"/>
  <c r="F172"/>
  <c r="G172" s="1"/>
  <c r="F173"/>
  <c r="G173" s="1"/>
  <c r="F174"/>
  <c r="G174" s="1"/>
  <c r="F175"/>
  <c r="G175" s="1"/>
  <c r="F176"/>
  <c r="G176" s="1"/>
  <c r="F177"/>
  <c r="G177" s="1"/>
  <c r="F178"/>
  <c r="G178" s="1"/>
  <c r="F179"/>
  <c r="G179" s="1"/>
  <c r="F180"/>
  <c r="G180" s="1"/>
  <c r="F181"/>
  <c r="G181" s="1"/>
  <c r="F182"/>
  <c r="G182" s="1"/>
  <c r="F183"/>
  <c r="G183" s="1"/>
  <c r="F157"/>
  <c r="G157" s="1"/>
  <c r="F131"/>
  <c r="G131" s="1"/>
  <c r="F132"/>
  <c r="G132" s="1"/>
  <c r="F133"/>
  <c r="G133" s="1"/>
  <c r="F134"/>
  <c r="G134" s="1"/>
  <c r="F135"/>
  <c r="G135" s="1"/>
  <c r="F136"/>
  <c r="G136" s="1"/>
  <c r="F137"/>
  <c r="G137" s="1"/>
  <c r="F138"/>
  <c r="G138" s="1"/>
  <c r="F139"/>
  <c r="G139" s="1"/>
  <c r="F140"/>
  <c r="G140" s="1"/>
  <c r="F141"/>
  <c r="G141" s="1"/>
  <c r="F142"/>
  <c r="G142" s="1"/>
  <c r="F143"/>
  <c r="G143" s="1"/>
  <c r="F144"/>
  <c r="G144" s="1"/>
  <c r="F145"/>
  <c r="G145" s="1"/>
  <c r="F146"/>
  <c r="G146" s="1"/>
  <c r="F147"/>
  <c r="G147" s="1"/>
  <c r="F148"/>
  <c r="G148" s="1"/>
  <c r="F149"/>
  <c r="G149" s="1"/>
  <c r="F150"/>
  <c r="G150" s="1"/>
  <c r="F151"/>
  <c r="G151" s="1"/>
  <c r="F152"/>
  <c r="G152" s="1"/>
  <c r="F153"/>
  <c r="G153" s="1"/>
  <c r="F154"/>
  <c r="G154" s="1"/>
  <c r="F155"/>
  <c r="G155" s="1"/>
  <c r="F156"/>
  <c r="G156" s="1"/>
  <c r="F130"/>
  <c r="G130" s="1"/>
  <c r="F104"/>
  <c r="G104" s="1"/>
  <c r="F105"/>
  <c r="G105" s="1"/>
  <c r="F106"/>
  <c r="G106" s="1"/>
  <c r="F107"/>
  <c r="G107" s="1"/>
  <c r="F108"/>
  <c r="G108" s="1"/>
  <c r="F109"/>
  <c r="G109" s="1"/>
  <c r="F110"/>
  <c r="G110" s="1"/>
  <c r="F111"/>
  <c r="G111" s="1"/>
  <c r="F112"/>
  <c r="G112" s="1"/>
  <c r="F113"/>
  <c r="G113" s="1"/>
  <c r="F114"/>
  <c r="G114" s="1"/>
  <c r="F115"/>
  <c r="G115" s="1"/>
  <c r="F116"/>
  <c r="G116" s="1"/>
  <c r="F117"/>
  <c r="G117" s="1"/>
  <c r="F118"/>
  <c r="G118" s="1"/>
  <c r="F119"/>
  <c r="G119" s="1"/>
  <c r="F120"/>
  <c r="G120" s="1"/>
  <c r="F121"/>
  <c r="G121" s="1"/>
  <c r="F122"/>
  <c r="G122" s="1"/>
  <c r="F123"/>
  <c r="G123" s="1"/>
  <c r="F124"/>
  <c r="G124" s="1"/>
  <c r="F125"/>
  <c r="G125" s="1"/>
  <c r="F126"/>
  <c r="G126" s="1"/>
  <c r="F127"/>
  <c r="G127" s="1"/>
  <c r="F128"/>
  <c r="G128" s="1"/>
  <c r="F129"/>
  <c r="G129" s="1"/>
  <c r="F103"/>
  <c r="G103" s="1"/>
  <c r="F77"/>
  <c r="G77" s="1"/>
  <c r="F78"/>
  <c r="G78" s="1"/>
  <c r="F79"/>
  <c r="G79" s="1"/>
  <c r="F80"/>
  <c r="G80" s="1"/>
  <c r="F81"/>
  <c r="G81" s="1"/>
  <c r="F82"/>
  <c r="G82" s="1"/>
  <c r="F83"/>
  <c r="G83" s="1"/>
  <c r="F84"/>
  <c r="G84" s="1"/>
  <c r="F85"/>
  <c r="G85" s="1"/>
  <c r="F86"/>
  <c r="G86" s="1"/>
  <c r="F87"/>
  <c r="G87" s="1"/>
  <c r="F88"/>
  <c r="G88" s="1"/>
  <c r="F89"/>
  <c r="G89" s="1"/>
  <c r="F90"/>
  <c r="G90" s="1"/>
  <c r="F91"/>
  <c r="G91" s="1"/>
  <c r="F92"/>
  <c r="G92" s="1"/>
  <c r="F93"/>
  <c r="G93" s="1"/>
  <c r="F94"/>
  <c r="G94" s="1"/>
  <c r="F95"/>
  <c r="G95" s="1"/>
  <c r="F96"/>
  <c r="G96" s="1"/>
  <c r="F97"/>
  <c r="G97" s="1"/>
  <c r="F98"/>
  <c r="G98" s="1"/>
  <c r="F99"/>
  <c r="G99" s="1"/>
  <c r="F100"/>
  <c r="G100" s="1"/>
  <c r="F101"/>
  <c r="G101" s="1"/>
  <c r="F102"/>
  <c r="G102" s="1"/>
  <c r="F76"/>
  <c r="G76" s="1"/>
  <c r="F50"/>
  <c r="G50" s="1"/>
  <c r="F51"/>
  <c r="G51" s="1"/>
  <c r="F52"/>
  <c r="G52" s="1"/>
  <c r="F53"/>
  <c r="G53" s="1"/>
  <c r="F54"/>
  <c r="G54" s="1"/>
  <c r="F55"/>
  <c r="G55" s="1"/>
  <c r="F56"/>
  <c r="G56" s="1"/>
  <c r="F57"/>
  <c r="G57" s="1"/>
  <c r="F58"/>
  <c r="G58" s="1"/>
  <c r="F59"/>
  <c r="G59" s="1"/>
  <c r="F60"/>
  <c r="G60" s="1"/>
  <c r="F61"/>
  <c r="G61" s="1"/>
  <c r="F62"/>
  <c r="G62" s="1"/>
  <c r="F63"/>
  <c r="G63" s="1"/>
  <c r="F64"/>
  <c r="G64" s="1"/>
  <c r="F65"/>
  <c r="G65" s="1"/>
  <c r="F66"/>
  <c r="G66" s="1"/>
  <c r="F67"/>
  <c r="G67" s="1"/>
  <c r="F68"/>
  <c r="G68" s="1"/>
  <c r="F69"/>
  <c r="G69" s="1"/>
  <c r="F70"/>
  <c r="G70" s="1"/>
  <c r="F71"/>
  <c r="G71" s="1"/>
  <c r="F72"/>
  <c r="G72" s="1"/>
  <c r="F73"/>
  <c r="G73" s="1"/>
  <c r="F74"/>
  <c r="G74" s="1"/>
  <c r="F75"/>
  <c r="G75" s="1"/>
  <c r="F49"/>
  <c r="G49" s="1"/>
  <c r="G144" i="7"/>
  <c r="H144" s="1"/>
  <c r="G145"/>
  <c r="H145" s="1"/>
  <c r="G146"/>
  <c r="H146" s="1"/>
  <c r="G147"/>
  <c r="H147" s="1"/>
  <c r="G148"/>
  <c r="H148" s="1"/>
  <c r="G149"/>
  <c r="H149" s="1"/>
  <c r="G150"/>
  <c r="H150" s="1"/>
  <c r="G151"/>
  <c r="H151" s="1"/>
  <c r="G152"/>
  <c r="H152" s="1"/>
  <c r="G153"/>
  <c r="H153" s="1"/>
  <c r="G154"/>
  <c r="H154" s="1"/>
  <c r="G155"/>
  <c r="H155" s="1"/>
  <c r="G156"/>
  <c r="H156" s="1"/>
  <c r="G157"/>
  <c r="H157" s="1"/>
  <c r="G158"/>
  <c r="H158" s="1"/>
  <c r="G159"/>
  <c r="H159" s="1"/>
  <c r="G160"/>
  <c r="H160" s="1"/>
  <c r="G161"/>
  <c r="H161" s="1"/>
  <c r="G162"/>
  <c r="H162" s="1"/>
  <c r="G163"/>
  <c r="H163" s="1"/>
  <c r="G164"/>
  <c r="H164" s="1"/>
  <c r="G165"/>
  <c r="H165" s="1"/>
  <c r="G166"/>
  <c r="H166" s="1"/>
  <c r="G143"/>
  <c r="H143" s="1"/>
  <c r="G120"/>
  <c r="H120" s="1"/>
  <c r="G121"/>
  <c r="H121" s="1"/>
  <c r="G122"/>
  <c r="H122" s="1"/>
  <c r="G123"/>
  <c r="H123" s="1"/>
  <c r="G124"/>
  <c r="H124" s="1"/>
  <c r="G125"/>
  <c r="H125" s="1"/>
  <c r="G126"/>
  <c r="H126" s="1"/>
  <c r="G127"/>
  <c r="H127" s="1"/>
  <c r="G128"/>
  <c r="H128" s="1"/>
  <c r="G129"/>
  <c r="H129" s="1"/>
  <c r="G130"/>
  <c r="H130" s="1"/>
  <c r="G131"/>
  <c r="H131" s="1"/>
  <c r="G132"/>
  <c r="H132" s="1"/>
  <c r="G133"/>
  <c r="H133" s="1"/>
  <c r="G134"/>
  <c r="H134" s="1"/>
  <c r="G135"/>
  <c r="H135" s="1"/>
  <c r="G136"/>
  <c r="H136" s="1"/>
  <c r="G137"/>
  <c r="H137" s="1"/>
  <c r="G138"/>
  <c r="H138" s="1"/>
  <c r="G139"/>
  <c r="H139" s="1"/>
  <c r="G140"/>
  <c r="H140" s="1"/>
  <c r="G141"/>
  <c r="H141" s="1"/>
  <c r="G142"/>
  <c r="H142" s="1"/>
  <c r="G119"/>
  <c r="H119" s="1"/>
  <c r="G96"/>
  <c r="H96" s="1"/>
  <c r="G97"/>
  <c r="H97" s="1"/>
  <c r="G98"/>
  <c r="H98" s="1"/>
  <c r="G99"/>
  <c r="H99" s="1"/>
  <c r="G100"/>
  <c r="H100" s="1"/>
  <c r="G101"/>
  <c r="H101" s="1"/>
  <c r="G102"/>
  <c r="H102" s="1"/>
  <c r="G103"/>
  <c r="H103" s="1"/>
  <c r="G104"/>
  <c r="H104" s="1"/>
  <c r="G105"/>
  <c r="H105" s="1"/>
  <c r="G106"/>
  <c r="H106" s="1"/>
  <c r="G107"/>
  <c r="H107" s="1"/>
  <c r="G108"/>
  <c r="H108" s="1"/>
  <c r="G109"/>
  <c r="H109" s="1"/>
  <c r="G110"/>
  <c r="H110" s="1"/>
  <c r="G111"/>
  <c r="H111" s="1"/>
  <c r="G112"/>
  <c r="H112" s="1"/>
  <c r="G113"/>
  <c r="H113" s="1"/>
  <c r="G114"/>
  <c r="H114" s="1"/>
  <c r="G115"/>
  <c r="H115" s="1"/>
  <c r="G116"/>
  <c r="H116" s="1"/>
  <c r="G117"/>
  <c r="H117" s="1"/>
  <c r="G118"/>
  <c r="H118" s="1"/>
  <c r="G95"/>
  <c r="H95" s="1"/>
  <c r="G72"/>
  <c r="H72" s="1"/>
  <c r="G73"/>
  <c r="H73" s="1"/>
  <c r="G74"/>
  <c r="H74" s="1"/>
  <c r="G75"/>
  <c r="H75" s="1"/>
  <c r="G76"/>
  <c r="H76" s="1"/>
  <c r="G77"/>
  <c r="H77" s="1"/>
  <c r="G78"/>
  <c r="H78" s="1"/>
  <c r="G79"/>
  <c r="H79" s="1"/>
  <c r="G80"/>
  <c r="H80" s="1"/>
  <c r="G81"/>
  <c r="H81" s="1"/>
  <c r="G82"/>
  <c r="H82" s="1"/>
  <c r="G83"/>
  <c r="H83" s="1"/>
  <c r="G84"/>
  <c r="H84" s="1"/>
  <c r="G85"/>
  <c r="H85" s="1"/>
  <c r="G86"/>
  <c r="H86" s="1"/>
  <c r="G87"/>
  <c r="H87" s="1"/>
  <c r="G88"/>
  <c r="H88" s="1"/>
  <c r="G89"/>
  <c r="H89" s="1"/>
  <c r="G90"/>
  <c r="H90" s="1"/>
  <c r="G91"/>
  <c r="H91" s="1"/>
  <c r="G92"/>
  <c r="H92" s="1"/>
  <c r="G93"/>
  <c r="H93" s="1"/>
  <c r="G94"/>
  <c r="H94" s="1"/>
  <c r="G71"/>
  <c r="H71" s="1"/>
  <c r="G48"/>
  <c r="H48" s="1"/>
  <c r="G49"/>
  <c r="H49" s="1"/>
  <c r="G50"/>
  <c r="H50" s="1"/>
  <c r="G51"/>
  <c r="H51" s="1"/>
  <c r="G52"/>
  <c r="H52" s="1"/>
  <c r="G53"/>
  <c r="H53" s="1"/>
  <c r="G54"/>
  <c r="H54" s="1"/>
  <c r="G55"/>
  <c r="H55" s="1"/>
  <c r="G56"/>
  <c r="H56" s="1"/>
  <c r="G57"/>
  <c r="H57" s="1"/>
  <c r="G58"/>
  <c r="H58" s="1"/>
  <c r="G59"/>
  <c r="H59" s="1"/>
  <c r="G60"/>
  <c r="H60" s="1"/>
  <c r="G61"/>
  <c r="H61" s="1"/>
  <c r="G62"/>
  <c r="H62" s="1"/>
  <c r="G63"/>
  <c r="H63" s="1"/>
  <c r="G64"/>
  <c r="H64" s="1"/>
  <c r="G65"/>
  <c r="H65" s="1"/>
  <c r="G66"/>
  <c r="H66" s="1"/>
  <c r="G67"/>
  <c r="H67" s="1"/>
  <c r="G68"/>
  <c r="H68" s="1"/>
  <c r="G69"/>
  <c r="H69" s="1"/>
  <c r="G70"/>
  <c r="H70" s="1"/>
  <c r="G47"/>
  <c r="H47" s="1"/>
  <c r="H385" i="8"/>
  <c r="I385" s="1"/>
  <c r="H386"/>
  <c r="I386" s="1"/>
  <c r="H387"/>
  <c r="I387" s="1"/>
  <c r="H388"/>
  <c r="I388" s="1"/>
  <c r="H389"/>
  <c r="I389" s="1"/>
  <c r="H390"/>
  <c r="I390" s="1"/>
  <c r="H391"/>
  <c r="I391" s="1"/>
  <c r="H392"/>
  <c r="I392" s="1"/>
  <c r="H393"/>
  <c r="I393" s="1"/>
  <c r="H394"/>
  <c r="I394" s="1"/>
  <c r="H395"/>
  <c r="I395" s="1"/>
  <c r="H396"/>
  <c r="I396" s="1"/>
  <c r="H397"/>
  <c r="I397" s="1"/>
  <c r="H398"/>
  <c r="I398" s="1"/>
  <c r="H399"/>
  <c r="I399" s="1"/>
  <c r="H400"/>
  <c r="I400" s="1"/>
  <c r="H401"/>
  <c r="I401" s="1"/>
  <c r="H402"/>
  <c r="I402" s="1"/>
  <c r="H403"/>
  <c r="I403" s="1"/>
  <c r="H404"/>
  <c r="I404" s="1"/>
  <c r="H405"/>
  <c r="I405" s="1"/>
  <c r="H406"/>
  <c r="I406" s="1"/>
  <c r="H407"/>
  <c r="I407" s="1"/>
  <c r="H408"/>
  <c r="I408" s="1"/>
  <c r="H409"/>
  <c r="I409" s="1"/>
  <c r="H410"/>
  <c r="I410" s="1"/>
  <c r="H411"/>
  <c r="I411" s="1"/>
  <c r="H412"/>
  <c r="I412" s="1"/>
  <c r="H413"/>
  <c r="I413" s="1"/>
  <c r="H414"/>
  <c r="I414" s="1"/>
  <c r="H415"/>
  <c r="I415" s="1"/>
  <c r="H416"/>
  <c r="I416" s="1"/>
  <c r="H417"/>
  <c r="I417" s="1"/>
  <c r="H418"/>
  <c r="I418" s="1"/>
  <c r="H419"/>
  <c r="I419" s="1"/>
  <c r="H420"/>
  <c r="I420" s="1"/>
  <c r="H421"/>
  <c r="I421" s="1"/>
  <c r="H422"/>
  <c r="I422" s="1"/>
  <c r="H423"/>
  <c r="I423" s="1"/>
  <c r="H424"/>
  <c r="I424" s="1"/>
  <c r="H425"/>
  <c r="I425" s="1"/>
  <c r="H426"/>
  <c r="I426" s="1"/>
  <c r="H427"/>
  <c r="I427" s="1"/>
  <c r="H428"/>
  <c r="I428" s="1"/>
  <c r="H429"/>
  <c r="I429" s="1"/>
  <c r="H430"/>
  <c r="I430" s="1"/>
  <c r="H431"/>
  <c r="I431" s="1"/>
  <c r="H432"/>
  <c r="I432" s="1"/>
  <c r="H433"/>
  <c r="I433" s="1"/>
  <c r="H434"/>
  <c r="I434" s="1"/>
  <c r="H435"/>
  <c r="I435" s="1"/>
  <c r="H436"/>
  <c r="I436" s="1"/>
  <c r="H437"/>
  <c r="I437" s="1"/>
  <c r="H438"/>
  <c r="I438" s="1"/>
  <c r="H439"/>
  <c r="I439" s="1"/>
  <c r="H440"/>
  <c r="I440" s="1"/>
  <c r="H441"/>
  <c r="I441" s="1"/>
  <c r="H442"/>
  <c r="I442" s="1"/>
  <c r="H443"/>
  <c r="I443" s="1"/>
  <c r="H444"/>
  <c r="I444" s="1"/>
  <c r="H445"/>
  <c r="I445" s="1"/>
  <c r="H446"/>
  <c r="I446" s="1"/>
  <c r="H447"/>
  <c r="I447" s="1"/>
  <c r="H448"/>
  <c r="I448" s="1"/>
  <c r="H449"/>
  <c r="I449" s="1"/>
  <c r="H450"/>
  <c r="I450" s="1"/>
  <c r="H451"/>
  <c r="I451" s="1"/>
  <c r="H452"/>
  <c r="I452" s="1"/>
  <c r="H453"/>
  <c r="I453" s="1"/>
  <c r="H454"/>
  <c r="I454" s="1"/>
  <c r="H455"/>
  <c r="I455" s="1"/>
  <c r="H384"/>
  <c r="I384" s="1"/>
  <c r="H313"/>
  <c r="I313" s="1"/>
  <c r="H314"/>
  <c r="I314" s="1"/>
  <c r="H315"/>
  <c r="I315" s="1"/>
  <c r="H316"/>
  <c r="I316" s="1"/>
  <c r="H317"/>
  <c r="I317" s="1"/>
  <c r="H318"/>
  <c r="I318" s="1"/>
  <c r="H319"/>
  <c r="I319" s="1"/>
  <c r="H320"/>
  <c r="I320" s="1"/>
  <c r="H321"/>
  <c r="I321" s="1"/>
  <c r="H322"/>
  <c r="I322" s="1"/>
  <c r="H323"/>
  <c r="I323" s="1"/>
  <c r="H324"/>
  <c r="I324" s="1"/>
  <c r="H325"/>
  <c r="I325" s="1"/>
  <c r="H326"/>
  <c r="I326" s="1"/>
  <c r="H327"/>
  <c r="I327" s="1"/>
  <c r="H328"/>
  <c r="I328" s="1"/>
  <c r="H329"/>
  <c r="I329" s="1"/>
  <c r="H330"/>
  <c r="I330" s="1"/>
  <c r="H331"/>
  <c r="I331" s="1"/>
  <c r="H332"/>
  <c r="I332" s="1"/>
  <c r="H333"/>
  <c r="I333" s="1"/>
  <c r="H334"/>
  <c r="I334" s="1"/>
  <c r="H335"/>
  <c r="I335" s="1"/>
  <c r="H336"/>
  <c r="I336" s="1"/>
  <c r="H337"/>
  <c r="I337" s="1"/>
  <c r="H338"/>
  <c r="I338" s="1"/>
  <c r="H339"/>
  <c r="I339" s="1"/>
  <c r="H340"/>
  <c r="I340" s="1"/>
  <c r="H341"/>
  <c r="I341" s="1"/>
  <c r="H342"/>
  <c r="I342" s="1"/>
  <c r="H343"/>
  <c r="I343" s="1"/>
  <c r="H344"/>
  <c r="I344" s="1"/>
  <c r="H345"/>
  <c r="I345" s="1"/>
  <c r="H346"/>
  <c r="I346" s="1"/>
  <c r="H347"/>
  <c r="I347" s="1"/>
  <c r="H348"/>
  <c r="I348" s="1"/>
  <c r="H349"/>
  <c r="I349" s="1"/>
  <c r="H350"/>
  <c r="I350" s="1"/>
  <c r="H351"/>
  <c r="I351" s="1"/>
  <c r="H352"/>
  <c r="I352" s="1"/>
  <c r="H353"/>
  <c r="I353" s="1"/>
  <c r="H354"/>
  <c r="I354" s="1"/>
  <c r="H355"/>
  <c r="I355" s="1"/>
  <c r="H356"/>
  <c r="I356" s="1"/>
  <c r="H357"/>
  <c r="I357" s="1"/>
  <c r="H358"/>
  <c r="I358" s="1"/>
  <c r="H359"/>
  <c r="I359" s="1"/>
  <c r="H360"/>
  <c r="I360" s="1"/>
  <c r="H361"/>
  <c r="I361" s="1"/>
  <c r="H362"/>
  <c r="I362" s="1"/>
  <c r="H363"/>
  <c r="I363" s="1"/>
  <c r="H364"/>
  <c r="I364" s="1"/>
  <c r="H365"/>
  <c r="I365" s="1"/>
  <c r="H366"/>
  <c r="I366" s="1"/>
  <c r="H367"/>
  <c r="I367" s="1"/>
  <c r="H368"/>
  <c r="I368" s="1"/>
  <c r="H369"/>
  <c r="I369" s="1"/>
  <c r="H370"/>
  <c r="I370" s="1"/>
  <c r="H371"/>
  <c r="I371" s="1"/>
  <c r="H372"/>
  <c r="I372" s="1"/>
  <c r="H373"/>
  <c r="I373" s="1"/>
  <c r="H374"/>
  <c r="I374" s="1"/>
  <c r="H375"/>
  <c r="I375" s="1"/>
  <c r="H376"/>
  <c r="I376" s="1"/>
  <c r="H377"/>
  <c r="I377" s="1"/>
  <c r="H378"/>
  <c r="I378" s="1"/>
  <c r="H379"/>
  <c r="I379" s="1"/>
  <c r="H380"/>
  <c r="I380" s="1"/>
  <c r="H381"/>
  <c r="I381" s="1"/>
  <c r="H382"/>
  <c r="I382" s="1"/>
  <c r="H383"/>
  <c r="I383" s="1"/>
  <c r="H312"/>
  <c r="I312" s="1"/>
  <c r="H241"/>
  <c r="I241" s="1"/>
  <c r="H242"/>
  <c r="I242" s="1"/>
  <c r="H243"/>
  <c r="I243" s="1"/>
  <c r="H244"/>
  <c r="I244" s="1"/>
  <c r="H245"/>
  <c r="I245" s="1"/>
  <c r="H246"/>
  <c r="I246" s="1"/>
  <c r="H247"/>
  <c r="I247" s="1"/>
  <c r="H248"/>
  <c r="I248" s="1"/>
  <c r="H249"/>
  <c r="I249" s="1"/>
  <c r="H250"/>
  <c r="I250" s="1"/>
  <c r="H251"/>
  <c r="I251" s="1"/>
  <c r="H252"/>
  <c r="I252" s="1"/>
  <c r="H253"/>
  <c r="I253" s="1"/>
  <c r="H254"/>
  <c r="I254" s="1"/>
  <c r="H255"/>
  <c r="I255" s="1"/>
  <c r="H256"/>
  <c r="I256" s="1"/>
  <c r="H257"/>
  <c r="I257" s="1"/>
  <c r="H258"/>
  <c r="I258" s="1"/>
  <c r="H259"/>
  <c r="I259" s="1"/>
  <c r="H260"/>
  <c r="I260" s="1"/>
  <c r="H261"/>
  <c r="I261" s="1"/>
  <c r="H262"/>
  <c r="I262" s="1"/>
  <c r="H263"/>
  <c r="I263" s="1"/>
  <c r="H264"/>
  <c r="I264" s="1"/>
  <c r="H265"/>
  <c r="I265" s="1"/>
  <c r="H266"/>
  <c r="I266" s="1"/>
  <c r="H267"/>
  <c r="I267" s="1"/>
  <c r="H268"/>
  <c r="I268" s="1"/>
  <c r="H269"/>
  <c r="I269" s="1"/>
  <c r="H270"/>
  <c r="I270" s="1"/>
  <c r="H271"/>
  <c r="I271" s="1"/>
  <c r="H272"/>
  <c r="I272" s="1"/>
  <c r="H273"/>
  <c r="I273" s="1"/>
  <c r="H274"/>
  <c r="I274" s="1"/>
  <c r="H275"/>
  <c r="I275" s="1"/>
  <c r="H276"/>
  <c r="I276" s="1"/>
  <c r="H277"/>
  <c r="I277" s="1"/>
  <c r="H278"/>
  <c r="I278" s="1"/>
  <c r="H279"/>
  <c r="I279" s="1"/>
  <c r="H280"/>
  <c r="I280" s="1"/>
  <c r="H281"/>
  <c r="I281" s="1"/>
  <c r="H282"/>
  <c r="I282" s="1"/>
  <c r="H283"/>
  <c r="I283" s="1"/>
  <c r="H284"/>
  <c r="I284" s="1"/>
  <c r="H285"/>
  <c r="I285" s="1"/>
  <c r="H286"/>
  <c r="I286" s="1"/>
  <c r="H287"/>
  <c r="I287" s="1"/>
  <c r="H288"/>
  <c r="I288" s="1"/>
  <c r="H289"/>
  <c r="I289" s="1"/>
  <c r="H290"/>
  <c r="I290" s="1"/>
  <c r="H291"/>
  <c r="I291" s="1"/>
  <c r="H292"/>
  <c r="I292" s="1"/>
  <c r="H293"/>
  <c r="I293" s="1"/>
  <c r="H294"/>
  <c r="I294" s="1"/>
  <c r="H295"/>
  <c r="I295" s="1"/>
  <c r="H296"/>
  <c r="I296" s="1"/>
  <c r="H297"/>
  <c r="I297" s="1"/>
  <c r="H298"/>
  <c r="I298" s="1"/>
  <c r="H299"/>
  <c r="I299" s="1"/>
  <c r="H300"/>
  <c r="I300" s="1"/>
  <c r="H301"/>
  <c r="I301" s="1"/>
  <c r="H302"/>
  <c r="I302" s="1"/>
  <c r="H303"/>
  <c r="I303" s="1"/>
  <c r="H304"/>
  <c r="I304" s="1"/>
  <c r="H305"/>
  <c r="I305" s="1"/>
  <c r="H306"/>
  <c r="I306" s="1"/>
  <c r="H307"/>
  <c r="I307" s="1"/>
  <c r="H308"/>
  <c r="I308" s="1"/>
  <c r="H309"/>
  <c r="I309" s="1"/>
  <c r="H310"/>
  <c r="I310" s="1"/>
  <c r="H311"/>
  <c r="I311" s="1"/>
  <c r="H240"/>
  <c r="I240" s="1"/>
  <c r="H169"/>
  <c r="I169" s="1"/>
  <c r="H170"/>
  <c r="I170" s="1"/>
  <c r="H171"/>
  <c r="I171" s="1"/>
  <c r="H172"/>
  <c r="I172" s="1"/>
  <c r="H173"/>
  <c r="I173" s="1"/>
  <c r="H174"/>
  <c r="I174" s="1"/>
  <c r="H175"/>
  <c r="I175" s="1"/>
  <c r="H176"/>
  <c r="I176" s="1"/>
  <c r="H177"/>
  <c r="I177" s="1"/>
  <c r="H178"/>
  <c r="I178" s="1"/>
  <c r="H179"/>
  <c r="I179" s="1"/>
  <c r="H180"/>
  <c r="I180" s="1"/>
  <c r="H181"/>
  <c r="I181" s="1"/>
  <c r="H182"/>
  <c r="I182" s="1"/>
  <c r="H183"/>
  <c r="I183" s="1"/>
  <c r="H184"/>
  <c r="I184" s="1"/>
  <c r="H185"/>
  <c r="I185" s="1"/>
  <c r="H186"/>
  <c r="I186" s="1"/>
  <c r="H187"/>
  <c r="I187" s="1"/>
  <c r="H188"/>
  <c r="I188" s="1"/>
  <c r="H189"/>
  <c r="I189" s="1"/>
  <c r="H190"/>
  <c r="I190" s="1"/>
  <c r="H191"/>
  <c r="I191" s="1"/>
  <c r="H192"/>
  <c r="I192" s="1"/>
  <c r="H193"/>
  <c r="I193" s="1"/>
  <c r="H194"/>
  <c r="I194" s="1"/>
  <c r="H195"/>
  <c r="I195" s="1"/>
  <c r="H196"/>
  <c r="I196" s="1"/>
  <c r="H197"/>
  <c r="I197" s="1"/>
  <c r="H198"/>
  <c r="I198" s="1"/>
  <c r="H199"/>
  <c r="I199" s="1"/>
  <c r="H200"/>
  <c r="I200" s="1"/>
  <c r="H201"/>
  <c r="I201" s="1"/>
  <c r="H202"/>
  <c r="I202" s="1"/>
  <c r="H203"/>
  <c r="I203" s="1"/>
  <c r="H204"/>
  <c r="I204" s="1"/>
  <c r="H205"/>
  <c r="I205" s="1"/>
  <c r="H206"/>
  <c r="I206" s="1"/>
  <c r="H207"/>
  <c r="I207" s="1"/>
  <c r="H208"/>
  <c r="I208" s="1"/>
  <c r="H209"/>
  <c r="I209" s="1"/>
  <c r="H210"/>
  <c r="I210" s="1"/>
  <c r="H211"/>
  <c r="I211" s="1"/>
  <c r="H212"/>
  <c r="I212" s="1"/>
  <c r="H213"/>
  <c r="I213" s="1"/>
  <c r="H214"/>
  <c r="I214" s="1"/>
  <c r="H215"/>
  <c r="I215" s="1"/>
  <c r="H216"/>
  <c r="I216" s="1"/>
  <c r="H217"/>
  <c r="I217" s="1"/>
  <c r="H218"/>
  <c r="I218" s="1"/>
  <c r="H219"/>
  <c r="I219" s="1"/>
  <c r="H220"/>
  <c r="I220" s="1"/>
  <c r="H221"/>
  <c r="I221" s="1"/>
  <c r="H222"/>
  <c r="I222" s="1"/>
  <c r="H223"/>
  <c r="I223" s="1"/>
  <c r="H224"/>
  <c r="I224" s="1"/>
  <c r="H225"/>
  <c r="I225" s="1"/>
  <c r="H226"/>
  <c r="I226" s="1"/>
  <c r="H227"/>
  <c r="I227" s="1"/>
  <c r="H228"/>
  <c r="I228" s="1"/>
  <c r="H229"/>
  <c r="I229" s="1"/>
  <c r="H230"/>
  <c r="I230" s="1"/>
  <c r="H231"/>
  <c r="I231" s="1"/>
  <c r="H232"/>
  <c r="I232" s="1"/>
  <c r="H233"/>
  <c r="I233" s="1"/>
  <c r="H234"/>
  <c r="I234" s="1"/>
  <c r="H235"/>
  <c r="I235" s="1"/>
  <c r="H236"/>
  <c r="I236" s="1"/>
  <c r="H237"/>
  <c r="I237" s="1"/>
  <c r="H238"/>
  <c r="I238" s="1"/>
  <c r="H239"/>
  <c r="I239" s="1"/>
  <c r="H168"/>
  <c r="I168" s="1"/>
  <c r="H97"/>
  <c r="I97" s="1"/>
  <c r="H98"/>
  <c r="I98" s="1"/>
  <c r="H99"/>
  <c r="I99" s="1"/>
  <c r="H100"/>
  <c r="I100" s="1"/>
  <c r="H101"/>
  <c r="I101" s="1"/>
  <c r="H102"/>
  <c r="I102" s="1"/>
  <c r="H103"/>
  <c r="I103" s="1"/>
  <c r="H104"/>
  <c r="I104" s="1"/>
  <c r="H105"/>
  <c r="I105" s="1"/>
  <c r="H106"/>
  <c r="I106" s="1"/>
  <c r="H107"/>
  <c r="I107" s="1"/>
  <c r="H108"/>
  <c r="I108" s="1"/>
  <c r="H109"/>
  <c r="I109" s="1"/>
  <c r="H110"/>
  <c r="I110" s="1"/>
  <c r="H111"/>
  <c r="I111" s="1"/>
  <c r="H112"/>
  <c r="I112" s="1"/>
  <c r="H113"/>
  <c r="I113" s="1"/>
  <c r="H114"/>
  <c r="I114" s="1"/>
  <c r="H115"/>
  <c r="I115" s="1"/>
  <c r="H116"/>
  <c r="I116" s="1"/>
  <c r="H117"/>
  <c r="I117" s="1"/>
  <c r="H118"/>
  <c r="I118" s="1"/>
  <c r="H119"/>
  <c r="I119" s="1"/>
  <c r="H120"/>
  <c r="I120" s="1"/>
  <c r="H121"/>
  <c r="I121" s="1"/>
  <c r="H122"/>
  <c r="I122" s="1"/>
  <c r="H123"/>
  <c r="I123" s="1"/>
  <c r="H124"/>
  <c r="I124" s="1"/>
  <c r="H125"/>
  <c r="I125" s="1"/>
  <c r="H126"/>
  <c r="I126" s="1"/>
  <c r="H127"/>
  <c r="I127" s="1"/>
  <c r="H128"/>
  <c r="I128" s="1"/>
  <c r="H129"/>
  <c r="I129" s="1"/>
  <c r="H130"/>
  <c r="I130" s="1"/>
  <c r="H131"/>
  <c r="I131" s="1"/>
  <c r="H132"/>
  <c r="I132" s="1"/>
  <c r="H133"/>
  <c r="I133" s="1"/>
  <c r="H134"/>
  <c r="I134" s="1"/>
  <c r="H135"/>
  <c r="I135" s="1"/>
  <c r="H136"/>
  <c r="I136" s="1"/>
  <c r="H137"/>
  <c r="I137" s="1"/>
  <c r="H138"/>
  <c r="I138" s="1"/>
  <c r="H139"/>
  <c r="I139" s="1"/>
  <c r="H140"/>
  <c r="I140" s="1"/>
  <c r="H141"/>
  <c r="I141" s="1"/>
  <c r="H142"/>
  <c r="I142" s="1"/>
  <c r="H143"/>
  <c r="I143" s="1"/>
  <c r="H144"/>
  <c r="I144" s="1"/>
  <c r="H145"/>
  <c r="I145" s="1"/>
  <c r="H146"/>
  <c r="I146" s="1"/>
  <c r="H147"/>
  <c r="I147" s="1"/>
  <c r="H148"/>
  <c r="I148" s="1"/>
  <c r="H149"/>
  <c r="I149" s="1"/>
  <c r="H150"/>
  <c r="I150" s="1"/>
  <c r="H151"/>
  <c r="I151" s="1"/>
  <c r="H152"/>
  <c r="I152" s="1"/>
  <c r="H153"/>
  <c r="I153" s="1"/>
  <c r="H154"/>
  <c r="I154" s="1"/>
  <c r="H155"/>
  <c r="I155" s="1"/>
  <c r="H156"/>
  <c r="I156" s="1"/>
  <c r="H157"/>
  <c r="I157" s="1"/>
  <c r="H158"/>
  <c r="I158" s="1"/>
  <c r="H159"/>
  <c r="I159" s="1"/>
  <c r="H160"/>
  <c r="I160" s="1"/>
  <c r="H161"/>
  <c r="I161" s="1"/>
  <c r="H162"/>
  <c r="I162" s="1"/>
  <c r="H163"/>
  <c r="I163" s="1"/>
  <c r="H164"/>
  <c r="I164" s="1"/>
  <c r="H165"/>
  <c r="I165" s="1"/>
  <c r="H166"/>
  <c r="I166" s="1"/>
  <c r="H167"/>
  <c r="I167" s="1"/>
  <c r="H96"/>
  <c r="I96" s="1"/>
  <c r="F86"/>
  <c r="F84"/>
  <c r="F82"/>
  <c r="F80"/>
  <c r="F78"/>
  <c r="F76"/>
  <c r="F74"/>
  <c r="F72"/>
  <c r="F70"/>
  <c r="F68"/>
  <c r="F66"/>
  <c r="F64"/>
  <c r="F62"/>
  <c r="F60"/>
  <c r="F58"/>
  <c r="F56"/>
  <c r="F54"/>
  <c r="F52"/>
  <c r="F50"/>
  <c r="F48"/>
  <c r="F46"/>
  <c r="F44"/>
  <c r="F42"/>
  <c r="F40"/>
  <c r="F38"/>
  <c r="F36"/>
  <c r="F34"/>
  <c r="F32"/>
  <c r="F30"/>
  <c r="F28"/>
  <c r="F26"/>
  <c r="F24"/>
  <c r="F22"/>
  <c r="F20"/>
  <c r="F18"/>
  <c r="F16"/>
  <c r="F85"/>
  <c r="F83"/>
  <c r="F81"/>
  <c r="F79"/>
  <c r="F77"/>
  <c r="F75"/>
  <c r="F73"/>
  <c r="F71"/>
  <c r="F69"/>
  <c r="F67"/>
  <c r="F65"/>
  <c r="F63"/>
  <c r="F61"/>
  <c r="F59"/>
  <c r="F57"/>
  <c r="F55"/>
  <c r="F53"/>
  <c r="F51"/>
  <c r="F49"/>
  <c r="F47"/>
  <c r="F45"/>
  <c r="F43"/>
  <c r="F41"/>
  <c r="F39"/>
  <c r="F37"/>
  <c r="F35"/>
  <c r="F33"/>
  <c r="F31"/>
  <c r="F29"/>
  <c r="F27"/>
  <c r="F25"/>
  <c r="F23"/>
  <c r="F21"/>
  <c r="F19"/>
  <c r="F17"/>
  <c r="F15"/>
  <c r="E86"/>
  <c r="E85"/>
  <c r="E82"/>
  <c r="E81"/>
  <c r="E78"/>
  <c r="E77"/>
  <c r="E74"/>
  <c r="E73"/>
  <c r="E70"/>
  <c r="E69"/>
  <c r="E66"/>
  <c r="E65"/>
  <c r="E62"/>
  <c r="E61"/>
  <c r="E58"/>
  <c r="E57"/>
  <c r="E54"/>
  <c r="E53"/>
  <c r="E50"/>
  <c r="E49"/>
  <c r="E46"/>
  <c r="E45"/>
  <c r="E42"/>
  <c r="E41"/>
  <c r="E38"/>
  <c r="E37"/>
  <c r="E34"/>
  <c r="E33"/>
  <c r="E30"/>
  <c r="E29"/>
  <c r="E26"/>
  <c r="E25"/>
  <c r="E22"/>
  <c r="E21"/>
  <c r="E18"/>
  <c r="E17"/>
  <c r="E84"/>
  <c r="E83"/>
  <c r="E80"/>
  <c r="E79"/>
  <c r="E76"/>
  <c r="E75"/>
  <c r="E72"/>
  <c r="E71"/>
  <c r="E68"/>
  <c r="E67"/>
  <c r="E64"/>
  <c r="E63"/>
  <c r="E60"/>
  <c r="E59"/>
  <c r="E56"/>
  <c r="E55"/>
  <c r="E52"/>
  <c r="E51"/>
  <c r="E48"/>
  <c r="E47"/>
  <c r="E44"/>
  <c r="E43"/>
  <c r="E40"/>
  <c r="E39"/>
  <c r="E36"/>
  <c r="E35"/>
  <c r="E32"/>
  <c r="E31"/>
  <c r="E28"/>
  <c r="E27"/>
  <c r="E24"/>
  <c r="E23"/>
  <c r="E20"/>
  <c r="E19"/>
  <c r="E16"/>
  <c r="E15"/>
  <c r="D86"/>
  <c r="D85"/>
  <c r="D84"/>
  <c r="D83"/>
  <c r="D78"/>
  <c r="D77"/>
  <c r="D76"/>
  <c r="D75"/>
  <c r="D70"/>
  <c r="D69"/>
  <c r="D68"/>
  <c r="D67"/>
  <c r="D62"/>
  <c r="D61"/>
  <c r="D60"/>
  <c r="D59"/>
  <c r="D54"/>
  <c r="D53"/>
  <c r="D52"/>
  <c r="D51"/>
  <c r="D46"/>
  <c r="D45"/>
  <c r="D44"/>
  <c r="D43"/>
  <c r="D38"/>
  <c r="D37"/>
  <c r="D36"/>
  <c r="D35"/>
  <c r="D30"/>
  <c r="D29"/>
  <c r="D28"/>
  <c r="D27"/>
  <c r="D20"/>
  <c r="D21"/>
  <c r="D22"/>
  <c r="D19"/>
  <c r="D82"/>
  <c r="D81"/>
  <c r="D80"/>
  <c r="D79"/>
  <c r="D74"/>
  <c r="D73"/>
  <c r="D72"/>
  <c r="D71"/>
  <c r="D66"/>
  <c r="D65"/>
  <c r="D64"/>
  <c r="D63"/>
  <c r="D58"/>
  <c r="D57"/>
  <c r="D56"/>
  <c r="D55"/>
  <c r="D50"/>
  <c r="D49"/>
  <c r="D48"/>
  <c r="D47"/>
  <c r="D42"/>
  <c r="D41"/>
  <c r="D40"/>
  <c r="D39"/>
  <c r="D34"/>
  <c r="D33"/>
  <c r="D32"/>
  <c r="D31"/>
  <c r="D26"/>
  <c r="D25"/>
  <c r="D24"/>
  <c r="D23"/>
  <c r="D16"/>
  <c r="D17"/>
  <c r="D18"/>
  <c r="D15"/>
  <c r="C86"/>
  <c r="C85"/>
  <c r="C84"/>
  <c r="C83"/>
  <c r="C82"/>
  <c r="C81"/>
  <c r="C80"/>
  <c r="C79"/>
  <c r="C62"/>
  <c r="C61"/>
  <c r="C60"/>
  <c r="C59"/>
  <c r="C58"/>
  <c r="C57"/>
  <c r="C56"/>
  <c r="C55"/>
  <c r="C32"/>
  <c r="C33"/>
  <c r="C34"/>
  <c r="C35"/>
  <c r="C36"/>
  <c r="C37"/>
  <c r="C38"/>
  <c r="C31"/>
  <c r="C78"/>
  <c r="C77"/>
  <c r="C76"/>
  <c r="C75"/>
  <c r="C74"/>
  <c r="C73"/>
  <c r="C72"/>
  <c r="C71"/>
  <c r="C54"/>
  <c r="C53"/>
  <c r="C52"/>
  <c r="C51"/>
  <c r="C50"/>
  <c r="C49"/>
  <c r="C48"/>
  <c r="C47"/>
  <c r="C24"/>
  <c r="C25"/>
  <c r="C26"/>
  <c r="C27"/>
  <c r="C28"/>
  <c r="C29"/>
  <c r="C30"/>
  <c r="C23"/>
  <c r="C70"/>
  <c r="C69"/>
  <c r="C68"/>
  <c r="C67"/>
  <c r="C66"/>
  <c r="C65"/>
  <c r="C64"/>
  <c r="C63"/>
  <c r="C46"/>
  <c r="C45"/>
  <c r="C44"/>
  <c r="C43"/>
  <c r="C42"/>
  <c r="C41"/>
  <c r="C40"/>
  <c r="C39"/>
  <c r="C16"/>
  <c r="C17"/>
  <c r="C18"/>
  <c r="C19"/>
  <c r="C20"/>
  <c r="C21"/>
  <c r="C22"/>
  <c r="C15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63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39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15"/>
  <c r="F14"/>
  <c r="E14"/>
  <c r="D14"/>
  <c r="C14"/>
  <c r="B14"/>
  <c r="E37" i="7"/>
  <c r="E35"/>
  <c r="E33"/>
  <c r="E31"/>
  <c r="E29"/>
  <c r="E27"/>
  <c r="E25"/>
  <c r="E23"/>
  <c r="E21"/>
  <c r="E19"/>
  <c r="E17"/>
  <c r="E15"/>
  <c r="E36"/>
  <c r="E34"/>
  <c r="E32"/>
  <c r="E30"/>
  <c r="E28"/>
  <c r="E26"/>
  <c r="E24"/>
  <c r="E22"/>
  <c r="E20"/>
  <c r="E18"/>
  <c r="E16"/>
  <c r="E14"/>
  <c r="D37"/>
  <c r="D36"/>
  <c r="D33"/>
  <c r="D32"/>
  <c r="D29"/>
  <c r="D28"/>
  <c r="D25"/>
  <c r="D24"/>
  <c r="D21"/>
  <c r="D20"/>
  <c r="D17"/>
  <c r="D16"/>
  <c r="D35"/>
  <c r="D34"/>
  <c r="D31"/>
  <c r="D30"/>
  <c r="D27"/>
  <c r="D26"/>
  <c r="D23"/>
  <c r="D22"/>
  <c r="D19"/>
  <c r="D18"/>
  <c r="D15"/>
  <c r="D14"/>
  <c r="C37"/>
  <c r="C36"/>
  <c r="C35"/>
  <c r="C34"/>
  <c r="C29"/>
  <c r="C28"/>
  <c r="C27"/>
  <c r="C26"/>
  <c r="C19"/>
  <c r="C20"/>
  <c r="C21"/>
  <c r="C18"/>
  <c r="C33"/>
  <c r="C32"/>
  <c r="C31"/>
  <c r="C30"/>
  <c r="C25"/>
  <c r="C24"/>
  <c r="C23"/>
  <c r="C22"/>
  <c r="C15"/>
  <c r="C16"/>
  <c r="C17"/>
  <c r="C14"/>
  <c r="B31"/>
  <c r="B32"/>
  <c r="B33"/>
  <c r="B34"/>
  <c r="B35"/>
  <c r="B36"/>
  <c r="B37"/>
  <c r="B30"/>
  <c r="B23"/>
  <c r="B24"/>
  <c r="B25"/>
  <c r="B26"/>
  <c r="B27"/>
  <c r="B28"/>
  <c r="B29"/>
  <c r="B22"/>
  <c r="B15"/>
  <c r="B16"/>
  <c r="B17"/>
  <c r="B18"/>
  <c r="B19"/>
  <c r="B20"/>
  <c r="B21"/>
  <c r="B14"/>
  <c r="E13"/>
  <c r="D13"/>
  <c r="C13"/>
  <c r="B13"/>
  <c r="D38" i="6"/>
  <c r="D35"/>
  <c r="D32"/>
  <c r="D29"/>
  <c r="D26"/>
  <c r="D23"/>
  <c r="D20"/>
  <c r="D17"/>
  <c r="D14"/>
  <c r="D37"/>
  <c r="D34"/>
  <c r="D31"/>
  <c r="D28"/>
  <c r="D25"/>
  <c r="D22"/>
  <c r="D19"/>
  <c r="D16"/>
  <c r="D13"/>
  <c r="D36"/>
  <c r="D33"/>
  <c r="D30"/>
  <c r="D27"/>
  <c r="D24"/>
  <c r="D21"/>
  <c r="D18"/>
  <c r="D15"/>
  <c r="D12"/>
  <c r="C38"/>
  <c r="C37"/>
  <c r="C36"/>
  <c r="C29"/>
  <c r="C28"/>
  <c r="C27"/>
  <c r="C19"/>
  <c r="C20"/>
  <c r="C18"/>
  <c r="C35"/>
  <c r="C34"/>
  <c r="C33"/>
  <c r="C26"/>
  <c r="C25"/>
  <c r="C24"/>
  <c r="C16"/>
  <c r="C17"/>
  <c r="C15"/>
  <c r="C32"/>
  <c r="C31"/>
  <c r="C30"/>
  <c r="C23"/>
  <c r="C22"/>
  <c r="C21"/>
  <c r="C13"/>
  <c r="C14"/>
  <c r="C12"/>
  <c r="B31"/>
  <c r="B32"/>
  <c r="B33"/>
  <c r="B34"/>
  <c r="B35"/>
  <c r="B36"/>
  <c r="B37"/>
  <c r="B38"/>
  <c r="B30"/>
  <c r="B22"/>
  <c r="B23"/>
  <c r="B24"/>
  <c r="B25"/>
  <c r="B26"/>
  <c r="B27"/>
  <c r="B28"/>
  <c r="B29"/>
  <c r="B21"/>
  <c r="B13"/>
  <c r="B14"/>
  <c r="B15"/>
  <c r="B16"/>
  <c r="B17"/>
  <c r="B18"/>
  <c r="B19"/>
  <c r="B20"/>
  <c r="B12"/>
  <c r="D11"/>
  <c r="C11"/>
  <c r="B11"/>
  <c r="D30" i="5"/>
  <c r="D27"/>
  <c r="D24"/>
  <c r="D21"/>
  <c r="D18"/>
  <c r="D15"/>
  <c r="D29"/>
  <c r="D26"/>
  <c r="D23"/>
  <c r="D20"/>
  <c r="D17"/>
  <c r="D14"/>
  <c r="D28"/>
  <c r="D25"/>
  <c r="D22"/>
  <c r="D19"/>
  <c r="D16"/>
  <c r="D13"/>
  <c r="C30"/>
  <c r="C29"/>
  <c r="C28"/>
  <c r="C20"/>
  <c r="C21"/>
  <c r="C19"/>
  <c r="C27"/>
  <c r="C26"/>
  <c r="C25"/>
  <c r="C17"/>
  <c r="C18"/>
  <c r="C16"/>
  <c r="C24"/>
  <c r="C23"/>
  <c r="C22"/>
  <c r="C14"/>
  <c r="C15"/>
  <c r="C13"/>
  <c r="B23"/>
  <c r="B24"/>
  <c r="B25"/>
  <c r="B26"/>
  <c r="B27"/>
  <c r="B28"/>
  <c r="B29"/>
  <c r="B30"/>
  <c r="B22"/>
  <c r="B14"/>
  <c r="B15"/>
  <c r="B16"/>
  <c r="B17"/>
  <c r="B18"/>
  <c r="B19"/>
  <c r="B20"/>
  <c r="B21"/>
  <c r="B13"/>
  <c r="D12"/>
  <c r="C12"/>
  <c r="B12"/>
  <c r="D24" i="4"/>
  <c r="D23"/>
  <c r="D22"/>
  <c r="D17"/>
  <c r="D18"/>
  <c r="D16"/>
  <c r="D21"/>
  <c r="D20"/>
  <c r="D19"/>
  <c r="D14"/>
  <c r="D15"/>
  <c r="D13"/>
  <c r="C24"/>
  <c r="C21"/>
  <c r="C18"/>
  <c r="C15"/>
  <c r="C23"/>
  <c r="C20"/>
  <c r="C17"/>
  <c r="C14"/>
  <c r="C22"/>
  <c r="C19"/>
  <c r="C16"/>
  <c r="C13"/>
  <c r="B20"/>
  <c r="B21"/>
  <c r="B22"/>
  <c r="B23"/>
  <c r="B24"/>
  <c r="B19"/>
  <c r="B14"/>
  <c r="B15"/>
  <c r="B16"/>
  <c r="B17"/>
  <c r="B18"/>
  <c r="B13"/>
  <c r="D12"/>
  <c r="C12"/>
  <c r="B12"/>
  <c r="C19" i="3"/>
  <c r="C16"/>
  <c r="C13"/>
  <c r="C18"/>
  <c r="C15"/>
  <c r="C12"/>
  <c r="C17"/>
  <c r="C14"/>
  <c r="C11"/>
  <c r="B18"/>
  <c r="B19"/>
  <c r="B17"/>
  <c r="B15"/>
  <c r="B16"/>
  <c r="B14"/>
  <c r="B12"/>
  <c r="B13"/>
  <c r="B11"/>
  <c r="C10"/>
  <c r="B10"/>
  <c r="C17" i="2"/>
  <c r="C14"/>
  <c r="C16"/>
  <c r="C13"/>
  <c r="C15"/>
  <c r="C12"/>
  <c r="B16"/>
  <c r="B17"/>
  <c r="B15"/>
  <c r="B13"/>
  <c r="B14"/>
  <c r="B12"/>
  <c r="C11"/>
  <c r="B11"/>
  <c r="AA24" i="13"/>
  <c r="AA26" s="1"/>
  <c r="Z24"/>
  <c r="Z26" s="1"/>
  <c r="Y24"/>
  <c r="Y26" s="1"/>
  <c r="X24"/>
  <c r="X26" s="1"/>
  <c r="W24"/>
  <c r="W26" s="1"/>
  <c r="V24"/>
  <c r="V26" s="1"/>
  <c r="U24"/>
  <c r="U26" s="1"/>
  <c r="T24"/>
  <c r="T26" s="1"/>
  <c r="S24"/>
  <c r="S26" s="1"/>
  <c r="R24"/>
  <c r="R26" s="1"/>
  <c r="Q24"/>
  <c r="Q26" s="1"/>
  <c r="P24"/>
  <c r="P26" s="1"/>
  <c r="O24"/>
  <c r="O26" s="1"/>
  <c r="N24"/>
  <c r="N26" s="1"/>
  <c r="M24"/>
  <c r="M26" s="1"/>
  <c r="L24"/>
  <c r="L26" s="1"/>
  <c r="K24"/>
  <c r="K26" s="1"/>
  <c r="J24"/>
  <c r="J26" s="1"/>
  <c r="I24"/>
  <c r="I26" s="1"/>
  <c r="E21" s="1"/>
  <c r="J21"/>
  <c r="B19" s="1"/>
  <c r="J20"/>
  <c r="B18" s="1"/>
  <c r="F14" i="7"/>
  <c r="F15"/>
  <c r="F16"/>
  <c r="F17"/>
  <c r="F22"/>
  <c r="F23"/>
  <c r="F24"/>
  <c r="F25"/>
  <c r="F30"/>
  <c r="F31"/>
  <c r="F32"/>
  <c r="F33"/>
  <c r="F18"/>
  <c r="F19"/>
  <c r="F20"/>
  <c r="O22" s="1"/>
  <c r="F21"/>
  <c r="F26"/>
  <c r="F27"/>
  <c r="F28"/>
  <c r="F29"/>
  <c r="F34"/>
  <c r="F35"/>
  <c r="F36"/>
  <c r="F37"/>
  <c r="E13" i="4"/>
  <c r="E16"/>
  <c r="E19"/>
  <c r="O25" s="1"/>
  <c r="E22"/>
  <c r="E14"/>
  <c r="E15"/>
  <c r="E17"/>
  <c r="N30" s="1"/>
  <c r="E18"/>
  <c r="E20"/>
  <c r="E21"/>
  <c r="E23"/>
  <c r="E24"/>
  <c r="D11" i="3"/>
  <c r="D12"/>
  <c r="D13"/>
  <c r="D14"/>
  <c r="D15"/>
  <c r="D16"/>
  <c r="D17"/>
  <c r="D18"/>
  <c r="D19"/>
  <c r="D12" i="2"/>
  <c r="M27" s="1"/>
  <c r="D15"/>
  <c r="N27" s="1"/>
  <c r="D13"/>
  <c r="D14"/>
  <c r="M29" s="1"/>
  <c r="D16"/>
  <c r="N28" s="1"/>
  <c r="D17"/>
  <c r="N29" s="1"/>
  <c r="E13" i="5"/>
  <c r="E14"/>
  <c r="E15"/>
  <c r="E16"/>
  <c r="E17"/>
  <c r="E18"/>
  <c r="E19"/>
  <c r="E20"/>
  <c r="E21"/>
  <c r="E22"/>
  <c r="N44" s="1"/>
  <c r="E23"/>
  <c r="E24"/>
  <c r="E25"/>
  <c r="E26"/>
  <c r="E27"/>
  <c r="E28"/>
  <c r="E29"/>
  <c r="P45" s="1"/>
  <c r="E30"/>
  <c r="B33" s="1"/>
  <c r="L29" i="2"/>
  <c r="L28"/>
  <c r="L27"/>
  <c r="K29"/>
  <c r="K28"/>
  <c r="K27"/>
  <c r="N26"/>
  <c r="M26"/>
  <c r="N25"/>
  <c r="M25"/>
  <c r="Q10"/>
  <c r="P10"/>
  <c r="O10"/>
  <c r="Q11"/>
  <c r="P11"/>
  <c r="O11"/>
  <c r="M10"/>
  <c r="L10"/>
  <c r="M11"/>
  <c r="L11"/>
  <c r="P39" i="4"/>
  <c r="O39"/>
  <c r="N39"/>
  <c r="P38"/>
  <c r="M39"/>
  <c r="M38"/>
  <c r="L39"/>
  <c r="L38"/>
  <c r="P37"/>
  <c r="O37"/>
  <c r="N37"/>
  <c r="P36"/>
  <c r="O36"/>
  <c r="N36"/>
  <c r="O30"/>
  <c r="O29"/>
  <c r="O27"/>
  <c r="N27"/>
  <c r="N26"/>
  <c r="M30"/>
  <c r="M29"/>
  <c r="L30"/>
  <c r="L29"/>
  <c r="M27"/>
  <c r="M26"/>
  <c r="M25"/>
  <c r="L27"/>
  <c r="L26"/>
  <c r="L25"/>
  <c r="O24"/>
  <c r="N24"/>
  <c r="O23"/>
  <c r="N23"/>
  <c r="R12"/>
  <c r="Q12"/>
  <c r="P12"/>
  <c r="U12"/>
  <c r="T12"/>
  <c r="U11"/>
  <c r="T11"/>
  <c r="R11"/>
  <c r="Q11"/>
  <c r="P11"/>
  <c r="N12"/>
  <c r="M12"/>
  <c r="N11"/>
  <c r="M11"/>
  <c r="P46" i="5"/>
  <c r="P44"/>
  <c r="O45"/>
  <c r="N46"/>
  <c r="M46"/>
  <c r="M45"/>
  <c r="L46"/>
  <c r="L45"/>
  <c r="O36"/>
  <c r="N36"/>
  <c r="O33"/>
  <c r="N32"/>
  <c r="N37"/>
  <c r="M37"/>
  <c r="L37"/>
  <c r="O30"/>
  <c r="N30"/>
  <c r="O29"/>
  <c r="N29"/>
  <c r="V12"/>
  <c r="V11"/>
  <c r="M44"/>
  <c r="L44"/>
  <c r="P43"/>
  <c r="O43"/>
  <c r="N43"/>
  <c r="P42"/>
  <c r="O42"/>
  <c r="N42"/>
  <c r="M36"/>
  <c r="L36"/>
  <c r="M35"/>
  <c r="L35"/>
  <c r="M33"/>
  <c r="L33"/>
  <c r="M32"/>
  <c r="L32"/>
  <c r="M31"/>
  <c r="L31"/>
  <c r="U12"/>
  <c r="T12"/>
  <c r="R12"/>
  <c r="Q12"/>
  <c r="P12"/>
  <c r="N12"/>
  <c r="M12"/>
  <c r="U11"/>
  <c r="T11"/>
  <c r="R11"/>
  <c r="Q11"/>
  <c r="P11"/>
  <c r="N11"/>
  <c r="M11"/>
  <c r="P53" i="7"/>
  <c r="O53"/>
  <c r="P52"/>
  <c r="O52"/>
  <c r="M55"/>
  <c r="M54"/>
  <c r="N55"/>
  <c r="N54"/>
  <c r="M43"/>
  <c r="M42"/>
  <c r="N43"/>
  <c r="N42"/>
  <c r="P37"/>
  <c r="O37"/>
  <c r="Q21"/>
  <c r="P21"/>
  <c r="O21"/>
  <c r="N28"/>
  <c r="M28"/>
  <c r="M27"/>
  <c r="M22"/>
  <c r="N22"/>
  <c r="Q20"/>
  <c r="Q19"/>
  <c r="P15"/>
  <c r="P14"/>
  <c r="N40"/>
  <c r="M40"/>
  <c r="N39"/>
  <c r="M39"/>
  <c r="P38"/>
  <c r="O38"/>
  <c r="N27"/>
  <c r="N25"/>
  <c r="M25"/>
  <c r="N24"/>
  <c r="M24"/>
  <c r="N21"/>
  <c r="M21"/>
  <c r="P20"/>
  <c r="O20"/>
  <c r="P19"/>
  <c r="O19"/>
  <c r="Y15"/>
  <c r="X15"/>
  <c r="V15"/>
  <c r="U15"/>
  <c r="S15"/>
  <c r="R15"/>
  <c r="O15"/>
  <c r="N15"/>
  <c r="Y14"/>
  <c r="X14"/>
  <c r="V14"/>
  <c r="U14"/>
  <c r="S14"/>
  <c r="R14"/>
  <c r="O14"/>
  <c r="N14"/>
  <c r="O25"/>
  <c r="O28"/>
  <c r="P25"/>
  <c r="P24"/>
  <c r="Q24"/>
  <c r="P27"/>
  <c r="P28"/>
  <c r="Q27"/>
  <c r="O39"/>
  <c r="O40"/>
  <c r="P39"/>
  <c r="P40"/>
  <c r="O42"/>
  <c r="O43"/>
  <c r="P42"/>
  <c r="P43"/>
  <c r="O54"/>
  <c r="O55"/>
  <c r="P54"/>
  <c r="P55"/>
  <c r="Q25"/>
  <c r="Q28"/>
  <c r="O24"/>
  <c r="O27"/>
  <c r="O27" i="3"/>
  <c r="M27"/>
  <c r="N26"/>
  <c r="M26"/>
  <c r="O25"/>
  <c r="N25"/>
  <c r="M25"/>
  <c r="L27"/>
  <c r="L26"/>
  <c r="L25"/>
  <c r="K27"/>
  <c r="K26"/>
  <c r="K25"/>
  <c r="O24"/>
  <c r="N24"/>
  <c r="M24"/>
  <c r="O23"/>
  <c r="N23"/>
  <c r="M23"/>
  <c r="N10"/>
  <c r="N9"/>
  <c r="R10"/>
  <c r="Q10"/>
  <c r="P10"/>
  <c r="M10"/>
  <c r="L10"/>
  <c r="R9"/>
  <c r="Q9"/>
  <c r="P9"/>
  <c r="M9"/>
  <c r="L9"/>
  <c r="N62" i="8"/>
  <c r="N61"/>
  <c r="O62"/>
  <c r="N59"/>
  <c r="N58"/>
  <c r="Q56"/>
  <c r="P56"/>
  <c r="N44"/>
  <c r="N43"/>
  <c r="O44"/>
  <c r="R41"/>
  <c r="R42"/>
  <c r="G79"/>
  <c r="G80"/>
  <c r="G81"/>
  <c r="G82"/>
  <c r="G83"/>
  <c r="G84"/>
  <c r="G85"/>
  <c r="G86"/>
  <c r="G71"/>
  <c r="G72"/>
  <c r="G73"/>
  <c r="G74"/>
  <c r="G75"/>
  <c r="G76"/>
  <c r="G77"/>
  <c r="G78"/>
  <c r="R24"/>
  <c r="G63"/>
  <c r="G64"/>
  <c r="G65"/>
  <c r="G66"/>
  <c r="G67"/>
  <c r="G68"/>
  <c r="G69"/>
  <c r="G70"/>
  <c r="G55"/>
  <c r="G56"/>
  <c r="G57"/>
  <c r="G58"/>
  <c r="G59"/>
  <c r="G60"/>
  <c r="G61"/>
  <c r="G62"/>
  <c r="G47"/>
  <c r="G48"/>
  <c r="G49"/>
  <c r="G50"/>
  <c r="G51"/>
  <c r="G52"/>
  <c r="G53"/>
  <c r="G54"/>
  <c r="G39"/>
  <c r="G40"/>
  <c r="G41"/>
  <c r="G42"/>
  <c r="G43"/>
  <c r="G44"/>
  <c r="G45"/>
  <c r="G46"/>
  <c r="G31"/>
  <c r="G32"/>
  <c r="G33"/>
  <c r="G34"/>
  <c r="G35"/>
  <c r="G36"/>
  <c r="G37"/>
  <c r="G38"/>
  <c r="G23"/>
  <c r="G24"/>
  <c r="G25"/>
  <c r="G26"/>
  <c r="G27"/>
  <c r="G28"/>
  <c r="G29"/>
  <c r="G30"/>
  <c r="G15"/>
  <c r="G16"/>
  <c r="G17"/>
  <c r="G18"/>
  <c r="G19"/>
  <c r="G20"/>
  <c r="Q58"/>
  <c r="G21"/>
  <c r="G22"/>
  <c r="P28" s="1"/>
  <c r="N34"/>
  <c r="O34"/>
  <c r="N25"/>
  <c r="N24"/>
  <c r="N23"/>
  <c r="O25"/>
  <c r="O24"/>
  <c r="R22"/>
  <c r="R21"/>
  <c r="V8"/>
  <c r="V7"/>
  <c r="R7"/>
  <c r="R8"/>
  <c r="O83"/>
  <c r="N83"/>
  <c r="O82"/>
  <c r="N82"/>
  <c r="Q81"/>
  <c r="P81"/>
  <c r="Q80"/>
  <c r="P80"/>
  <c r="O61"/>
  <c r="O59"/>
  <c r="O58"/>
  <c r="Q57"/>
  <c r="P57"/>
  <c r="O50"/>
  <c r="N50"/>
  <c r="O49"/>
  <c r="N49"/>
  <c r="O47"/>
  <c r="N47"/>
  <c r="O46"/>
  <c r="N46"/>
  <c r="O43"/>
  <c r="Q42"/>
  <c r="P42"/>
  <c r="Q41"/>
  <c r="P41"/>
  <c r="O33"/>
  <c r="N33"/>
  <c r="O31"/>
  <c r="N31"/>
  <c r="O30"/>
  <c r="N30"/>
  <c r="O28"/>
  <c r="N28"/>
  <c r="O27"/>
  <c r="N27"/>
  <c r="O23"/>
  <c r="Q22"/>
  <c r="P22"/>
  <c r="Q21"/>
  <c r="P21"/>
  <c r="AE8"/>
  <c r="AD8"/>
  <c r="AB8"/>
  <c r="AA8"/>
  <c r="Y8"/>
  <c r="X8"/>
  <c r="U8"/>
  <c r="T8"/>
  <c r="Q8"/>
  <c r="P8"/>
  <c r="AE7"/>
  <c r="AD7"/>
  <c r="AB7"/>
  <c r="AA7"/>
  <c r="Y7"/>
  <c r="X7"/>
  <c r="U7"/>
  <c r="T7"/>
  <c r="Q7"/>
  <c r="P7"/>
  <c r="Q28"/>
  <c r="R28"/>
  <c r="P31"/>
  <c r="Q31"/>
  <c r="R31"/>
  <c r="P34"/>
  <c r="Q34"/>
  <c r="R34"/>
  <c r="P44"/>
  <c r="Q44"/>
  <c r="R44"/>
  <c r="Q46"/>
  <c r="P47"/>
  <c r="R47"/>
  <c r="Q49"/>
  <c r="P50"/>
  <c r="R50"/>
  <c r="P59"/>
  <c r="Q59"/>
  <c r="P62"/>
  <c r="Q62"/>
  <c r="P83"/>
  <c r="Q83"/>
  <c r="E29" i="6"/>
  <c r="E20"/>
  <c r="E38"/>
  <c r="P46" s="1"/>
  <c r="E28"/>
  <c r="E19"/>
  <c r="E37"/>
  <c r="P45"/>
  <c r="E18"/>
  <c r="E27"/>
  <c r="E36"/>
  <c r="P44" s="1"/>
  <c r="E26"/>
  <c r="E17"/>
  <c r="E35"/>
  <c r="O46" s="1"/>
  <c r="E25"/>
  <c r="E16"/>
  <c r="E34"/>
  <c r="E24"/>
  <c r="E15"/>
  <c r="E33"/>
  <c r="E14"/>
  <c r="E23"/>
  <c r="E32"/>
  <c r="E13"/>
  <c r="E22"/>
  <c r="E31"/>
  <c r="E12"/>
  <c r="N24" s="1"/>
  <c r="E30"/>
  <c r="E21"/>
  <c r="O28" s="1"/>
  <c r="L46"/>
  <c r="L45"/>
  <c r="M46"/>
  <c r="M45"/>
  <c r="P30"/>
  <c r="P29"/>
  <c r="M30"/>
  <c r="M29"/>
  <c r="M28"/>
  <c r="P26"/>
  <c r="P25"/>
  <c r="O25"/>
  <c r="L29"/>
  <c r="L28"/>
  <c r="L30"/>
  <c r="P22"/>
  <c r="P23"/>
  <c r="M26"/>
  <c r="M25"/>
  <c r="M24"/>
  <c r="L26"/>
  <c r="L25"/>
  <c r="L24"/>
  <c r="W11"/>
  <c r="W10"/>
  <c r="O10"/>
  <c r="O11"/>
  <c r="M44"/>
  <c r="L44"/>
  <c r="P43"/>
  <c r="O43"/>
  <c r="N43"/>
  <c r="P42"/>
  <c r="O42"/>
  <c r="N42"/>
  <c r="O23"/>
  <c r="N23"/>
  <c r="O22"/>
  <c r="N22"/>
  <c r="V11"/>
  <c r="U11"/>
  <c r="S11"/>
  <c r="R11"/>
  <c r="Q11"/>
  <c r="N11"/>
  <c r="M11"/>
  <c r="V10"/>
  <c r="U10"/>
  <c r="S10"/>
  <c r="R10"/>
  <c r="Q10"/>
  <c r="N10"/>
  <c r="M10"/>
  <c r="Q61" i="8"/>
  <c r="Q47"/>
  <c r="Q24"/>
  <c r="R49"/>
  <c r="R25"/>
  <c r="P25"/>
  <c r="Q27"/>
  <c r="R23"/>
  <c r="R33"/>
  <c r="O45" i="6"/>
  <c r="B24" i="3"/>
  <c r="D24" s="1"/>
  <c r="B22"/>
  <c r="S12" s="1"/>
  <c r="P28" i="6"/>
  <c r="P24"/>
  <c r="O29"/>
  <c r="N30"/>
  <c r="N26"/>
  <c r="O24"/>
  <c r="O26"/>
  <c r="O30"/>
  <c r="D22" i="3"/>
  <c r="B40" i="7"/>
  <c r="B41"/>
  <c r="B42"/>
  <c r="C24" i="3"/>
  <c r="N11" s="1"/>
  <c r="C22"/>
  <c r="Q82" i="8"/>
  <c r="Q50"/>
  <c r="R46"/>
  <c r="R43"/>
  <c r="Q43"/>
  <c r="Q33"/>
  <c r="R30"/>
  <c r="Q30"/>
  <c r="R27"/>
  <c r="O26" i="3"/>
  <c r="N27"/>
  <c r="N31" i="5"/>
  <c r="O32"/>
  <c r="N35"/>
  <c r="O35"/>
  <c r="O37"/>
  <c r="N45"/>
  <c r="O44"/>
  <c r="O46"/>
  <c r="M28" i="2"/>
  <c r="B23" i="3"/>
  <c r="C23" s="1"/>
  <c r="P17" i="7"/>
  <c r="R17"/>
  <c r="T17"/>
  <c r="V17"/>
  <c r="X17"/>
  <c r="N17"/>
  <c r="O17"/>
  <c r="Q17"/>
  <c r="S17"/>
  <c r="U17"/>
  <c r="W17"/>
  <c r="Y17"/>
  <c r="N12" i="3"/>
  <c r="P12"/>
  <c r="Q12"/>
  <c r="L12"/>
  <c r="R12"/>
  <c r="M12"/>
  <c r="C42" i="7"/>
  <c r="P16" s="1"/>
  <c r="C40"/>
  <c r="N16" s="1"/>
  <c r="F40"/>
  <c r="D40"/>
  <c r="R16" s="1"/>
  <c r="E40"/>
  <c r="O12" i="3"/>
  <c r="L11"/>
  <c r="E41" i="7"/>
  <c r="V16" s="1"/>
  <c r="C41"/>
  <c r="O16" s="1"/>
  <c r="F41"/>
  <c r="D41"/>
  <c r="S16" s="1"/>
  <c r="P11" i="3"/>
  <c r="N45" i="6" l="1"/>
  <c r="O26" i="4"/>
  <c r="O38"/>
  <c r="D23" i="3"/>
  <c r="Q11" s="1"/>
  <c r="N29" i="6"/>
  <c r="B42"/>
  <c r="Q13" s="1"/>
  <c r="N25"/>
  <c r="O13"/>
  <c r="O44"/>
  <c r="O31" i="5"/>
  <c r="B27" i="4"/>
  <c r="T14" s="1"/>
  <c r="B21" i="2"/>
  <c r="D21" s="1"/>
  <c r="P12" s="1"/>
  <c r="B22"/>
  <c r="D22" s="1"/>
  <c r="Q12" s="1"/>
  <c r="N13"/>
  <c r="B20"/>
  <c r="D20" s="1"/>
  <c r="R11" i="3"/>
  <c r="M11"/>
  <c r="B28" i="4"/>
  <c r="N14"/>
  <c r="M14"/>
  <c r="P14"/>
  <c r="U14"/>
  <c r="N25"/>
  <c r="N29"/>
  <c r="N38"/>
  <c r="Q14"/>
  <c r="B29"/>
  <c r="D29" s="1"/>
  <c r="R13" s="1"/>
  <c r="C28"/>
  <c r="N13" s="1"/>
  <c r="E28"/>
  <c r="U13" s="1"/>
  <c r="D28"/>
  <c r="Q13" s="1"/>
  <c r="O14"/>
  <c r="E27"/>
  <c r="T13" s="1"/>
  <c r="D33" i="5"/>
  <c r="P13" s="1"/>
  <c r="E33"/>
  <c r="T13" s="1"/>
  <c r="R14"/>
  <c r="M14"/>
  <c r="S14"/>
  <c r="N14"/>
  <c r="Q14"/>
  <c r="U14"/>
  <c r="C33"/>
  <c r="M13" s="1"/>
  <c r="N33"/>
  <c r="B34"/>
  <c r="D34" s="1"/>
  <c r="Q13" s="1"/>
  <c r="P14"/>
  <c r="T14"/>
  <c r="V14"/>
  <c r="E34"/>
  <c r="U13" s="1"/>
  <c r="B35"/>
  <c r="N46" i="6"/>
  <c r="B43"/>
  <c r="B44"/>
  <c r="N28"/>
  <c r="N44"/>
  <c r="Q22" i="7"/>
  <c r="P22"/>
  <c r="P24" i="8"/>
  <c r="Q23"/>
  <c r="Q25"/>
  <c r="P23"/>
  <c r="B92"/>
  <c r="P27"/>
  <c r="P30"/>
  <c r="P43"/>
  <c r="P61"/>
  <c r="P33"/>
  <c r="F90"/>
  <c r="AA9" s="1"/>
  <c r="B90"/>
  <c r="G90" s="1"/>
  <c r="AD9" s="1"/>
  <c r="B91"/>
  <c r="P46"/>
  <c r="P49"/>
  <c r="P58"/>
  <c r="P82"/>
  <c r="Y16" i="7"/>
  <c r="X16"/>
  <c r="U16"/>
  <c r="D27" i="4" l="1"/>
  <c r="C27"/>
  <c r="C42" i="6"/>
  <c r="M12" s="1"/>
  <c r="D42"/>
  <c r="Q12" s="1"/>
  <c r="S13"/>
  <c r="W13"/>
  <c r="V13"/>
  <c r="M13"/>
  <c r="E42"/>
  <c r="U12" s="1"/>
  <c r="N13"/>
  <c r="T13"/>
  <c r="R13"/>
  <c r="U13"/>
  <c r="O14" i="5"/>
  <c r="C34"/>
  <c r="N13" s="1"/>
  <c r="S14" i="4"/>
  <c r="M13"/>
  <c r="P13"/>
  <c r="R14"/>
  <c r="C21" i="2"/>
  <c r="M12" s="1"/>
  <c r="C20"/>
  <c r="L12" s="1"/>
  <c r="M13"/>
  <c r="Q13"/>
  <c r="P13"/>
  <c r="O13"/>
  <c r="O12"/>
  <c r="L13"/>
  <c r="D35" i="5"/>
  <c r="E35"/>
  <c r="C43" i="6"/>
  <c r="N12" s="1"/>
  <c r="D43"/>
  <c r="R12" s="1"/>
  <c r="E43"/>
  <c r="V12" s="1"/>
  <c r="P13"/>
  <c r="D44"/>
  <c r="S12" s="1"/>
  <c r="E44"/>
  <c r="W12" s="1"/>
  <c r="C44"/>
  <c r="O12" s="1"/>
  <c r="E91" i="8"/>
  <c r="Y9" s="1"/>
  <c r="C91"/>
  <c r="Q9" s="1"/>
  <c r="D91"/>
  <c r="U9" s="1"/>
  <c r="D90"/>
  <c r="T9" s="1"/>
  <c r="F91"/>
  <c r="AB9" s="1"/>
  <c r="AD10"/>
  <c r="Z10"/>
  <c r="U10"/>
  <c r="P10"/>
  <c r="V10"/>
  <c r="AC10"/>
  <c r="T10"/>
  <c r="AA10"/>
  <c r="Q10"/>
  <c r="G91"/>
  <c r="AE9" s="1"/>
  <c r="AB10"/>
  <c r="X10"/>
  <c r="S10"/>
  <c r="R10"/>
  <c r="Y10"/>
  <c r="AE10"/>
  <c r="W10"/>
  <c r="D92"/>
  <c r="V9" s="1"/>
  <c r="C92"/>
  <c r="R9" s="1"/>
  <c r="C90"/>
  <c r="P9" s="1"/>
  <c r="E90"/>
  <c r="X9" s="1"/>
  <c r="R13" i="5" l="1"/>
  <c r="V13"/>
</calcChain>
</file>

<file path=xl/sharedStrings.xml><?xml version="1.0" encoding="utf-8"?>
<sst xmlns="http://schemas.openxmlformats.org/spreadsheetml/2006/main" count="4868" uniqueCount="286">
  <si>
    <t>A</t>
  </si>
  <si>
    <t>B</t>
  </si>
  <si>
    <t>C</t>
  </si>
  <si>
    <t>Domaine du plan</t>
  </si>
  <si>
    <t>Facteurs</t>
  </si>
  <si>
    <t>Niveau 1</t>
  </si>
  <si>
    <t>Niveau 2</t>
  </si>
  <si>
    <t>Niveau 3</t>
  </si>
  <si>
    <t>NE DOCUMENTER</t>
  </si>
  <si>
    <t xml:space="preserve">A =  </t>
  </si>
  <si>
    <t>Colonne</t>
  </si>
  <si>
    <t>Pol.</t>
  </si>
  <si>
    <t>Npol.</t>
  </si>
  <si>
    <t xml:space="preserve">B =  </t>
  </si>
  <si>
    <t>Elution</t>
  </si>
  <si>
    <t>Iso.</t>
  </si>
  <si>
    <t>Lin.</t>
  </si>
  <si>
    <t>Nlin.</t>
  </si>
  <si>
    <t>DE COULEUR BLANCHE</t>
  </si>
  <si>
    <t>Essais</t>
  </si>
  <si>
    <t>Réponses</t>
  </si>
  <si>
    <t>Y1</t>
  </si>
  <si>
    <t>Y2</t>
  </si>
  <si>
    <t>Y3</t>
  </si>
  <si>
    <t>Y4</t>
  </si>
  <si>
    <t>Y5</t>
  </si>
  <si>
    <t>Moyenne</t>
  </si>
  <si>
    <t>Effets moyens</t>
  </si>
  <si>
    <t>Général</t>
  </si>
  <si>
    <t>Facteur A</t>
  </si>
  <si>
    <t>Facteur B</t>
  </si>
  <si>
    <t>niveau 1</t>
  </si>
  <si>
    <t>niveau 2</t>
  </si>
  <si>
    <t>niveau 3</t>
  </si>
  <si>
    <t>Temp.</t>
  </si>
  <si>
    <t>5°C</t>
  </si>
  <si>
    <t>15 °C</t>
  </si>
  <si>
    <t>25°C</t>
  </si>
  <si>
    <t>Purge</t>
  </si>
  <si>
    <t>10 mn</t>
  </si>
  <si>
    <t>25 mn</t>
  </si>
  <si>
    <t>40 mn</t>
  </si>
  <si>
    <t>30°C</t>
  </si>
  <si>
    <t xml:space="preserve">C =  </t>
  </si>
  <si>
    <t>Séchage</t>
  </si>
  <si>
    <t>5 mn</t>
  </si>
  <si>
    <t>15 mn</t>
  </si>
  <si>
    <t>Facteur C</t>
  </si>
  <si>
    <t>30 mn</t>
  </si>
  <si>
    <t>50°C</t>
  </si>
  <si>
    <t xml:space="preserve">D =  </t>
  </si>
  <si>
    <t>Facteur</t>
  </si>
  <si>
    <t>Int. avec A</t>
  </si>
  <si>
    <t>Facteur D</t>
  </si>
  <si>
    <t xml:space="preserve">E =  </t>
  </si>
  <si>
    <t>Int. avec B</t>
  </si>
  <si>
    <t>Int avec C</t>
  </si>
  <si>
    <t>Int. DE</t>
  </si>
  <si>
    <t>Facteur E</t>
  </si>
  <si>
    <t xml:space="preserve"> </t>
  </si>
  <si>
    <t>Voie</t>
  </si>
  <si>
    <t>Vaccin</t>
  </si>
  <si>
    <t>VaccinA</t>
  </si>
  <si>
    <t>VaccinB</t>
  </si>
  <si>
    <t>Témoin</t>
  </si>
  <si>
    <t>Age</t>
  </si>
  <si>
    <t>Sexe</t>
  </si>
  <si>
    <t>Femelle</t>
  </si>
  <si>
    <t>Mâle</t>
  </si>
  <si>
    <t>Jeune</t>
  </si>
  <si>
    <t>Adulte</t>
  </si>
  <si>
    <t>Traitement</t>
  </si>
  <si>
    <t>Souche</t>
  </si>
  <si>
    <t>ScheA</t>
  </si>
  <si>
    <t>ScheB</t>
  </si>
  <si>
    <t>ScheC</t>
  </si>
  <si>
    <t>Placebo</t>
  </si>
  <si>
    <t>Traité</t>
  </si>
  <si>
    <t>10mn</t>
  </si>
  <si>
    <t>25mn</t>
  </si>
  <si>
    <t>5mn</t>
  </si>
  <si>
    <t>15mn</t>
  </si>
  <si>
    <t>40mn</t>
  </si>
  <si>
    <t>Souche1</t>
  </si>
  <si>
    <t>Souche2</t>
  </si>
  <si>
    <t>Souche3</t>
  </si>
  <si>
    <t>SC</t>
  </si>
  <si>
    <t>IM</t>
  </si>
  <si>
    <t>Calcul du nombre d'essais nécessaires pour un plan d'expériences complet</t>
  </si>
  <si>
    <r>
      <rPr>
        <b/>
        <sz val="10"/>
        <rFont val="Times New Roman"/>
        <family val="1"/>
      </rPr>
      <t>Cette première feuille</t>
    </r>
    <r>
      <rPr>
        <sz val="10"/>
        <rFont val="Times New Roman"/>
        <family val="1"/>
      </rPr>
      <t xml:space="preserve"> permet de calculer le nombre minimal d'essais nécessaires</t>
    </r>
  </si>
  <si>
    <t>pour un plan d'expériences complet, c'est à dire permettant de calculer tous</t>
  </si>
  <si>
    <t>Le calcul est possible jusqu'à 30 facteurs ayant au plus chacun 20 niveaux.</t>
  </si>
  <si>
    <r>
      <rPr>
        <b/>
        <sz val="10"/>
        <rFont val="Times New Roman"/>
        <family val="1"/>
      </rPr>
      <t>Les feuilles suivantes</t>
    </r>
    <r>
      <rPr>
        <sz val="10"/>
        <rFont val="Times New Roman"/>
        <family val="1"/>
      </rPr>
      <t xml:space="preserve"> aident à la réalisation de quelques plans complets</t>
    </r>
  </si>
  <si>
    <t>La réalisation des mesures nécessite en outre une randomisation de l'ordre des essais.</t>
  </si>
  <si>
    <r>
      <rPr>
        <b/>
        <sz val="10"/>
        <rFont val="Times New Roman"/>
        <family val="1"/>
      </rPr>
      <t>Dans le tableau ci-dessous</t>
    </r>
    <r>
      <rPr>
        <sz val="10"/>
        <rFont val="Times New Roman"/>
        <family val="1"/>
      </rPr>
      <t>, indiquer dans les cellules jaunes le nombre de niveaux</t>
    </r>
  </si>
  <si>
    <t>de chacun des facteurs de l'expérience. Laisser à zéro les facteurs non utilisés.</t>
  </si>
  <si>
    <t>Le nombre minimal d'essais nécessaires</t>
  </si>
  <si>
    <t>Niveaux = 1 :</t>
  </si>
  <si>
    <t>Niveaux &gt; 20 :</t>
  </si>
  <si>
    <t>Nb. niveaux</t>
  </si>
  <si>
    <t>NBSI 2</t>
  </si>
  <si>
    <t>NBSI 3</t>
  </si>
  <si>
    <t>NBSI 4</t>
  </si>
  <si>
    <t>NBSI 5</t>
  </si>
  <si>
    <t>NBSI 6</t>
  </si>
  <si>
    <t>NBSI 7</t>
  </si>
  <si>
    <t>NBSI 8</t>
  </si>
  <si>
    <t>NBSI 9</t>
  </si>
  <si>
    <t>NBSI 10</t>
  </si>
  <si>
    <t>NBSI 11</t>
  </si>
  <si>
    <t>NBSI 12</t>
  </si>
  <si>
    <t>NBSI 13</t>
  </si>
  <si>
    <t>NBSI 14</t>
  </si>
  <si>
    <t>NBSI 15</t>
  </si>
  <si>
    <t>NBSI 16</t>
  </si>
  <si>
    <t>NBSI 17</t>
  </si>
  <si>
    <t>NBSI 18</t>
  </si>
  <si>
    <t>NBSI 19</t>
  </si>
  <si>
    <t>NBSI 20</t>
  </si>
  <si>
    <t>Facteur 1</t>
  </si>
  <si>
    <t>Facteur 2</t>
  </si>
  <si>
    <t>Facteur 3</t>
  </si>
  <si>
    <t>Facteur 4</t>
  </si>
  <si>
    <t>Facteur 5</t>
  </si>
  <si>
    <t>Facteur 6</t>
  </si>
  <si>
    <t>Facteur 7</t>
  </si>
  <si>
    <t>Facteur 8</t>
  </si>
  <si>
    <t>Facteur 9</t>
  </si>
  <si>
    <t>Facteur 10</t>
  </si>
  <si>
    <t>Facteur 11</t>
  </si>
  <si>
    <t>Facteur 12</t>
  </si>
  <si>
    <t>Facteur 13</t>
  </si>
  <si>
    <t>Facteur 14</t>
  </si>
  <si>
    <t>Facteur 15</t>
  </si>
  <si>
    <t>Facteur 16</t>
  </si>
  <si>
    <t>Facteur 17</t>
  </si>
  <si>
    <t>Facteur 18</t>
  </si>
  <si>
    <t>Facteur 19</t>
  </si>
  <si>
    <t>Facteur 20</t>
  </si>
  <si>
    <t>Facteur 21</t>
  </si>
  <si>
    <t>Facteur 22</t>
  </si>
  <si>
    <t>Facteur 23</t>
  </si>
  <si>
    <t>Facteur 24</t>
  </si>
  <si>
    <t>Facteur 25</t>
  </si>
  <si>
    <t>Facteur 26</t>
  </si>
  <si>
    <t>Facteur 27</t>
  </si>
  <si>
    <t>Facteur 28</t>
  </si>
  <si>
    <t>Facteur 29</t>
  </si>
  <si>
    <t>Facteur 30</t>
  </si>
  <si>
    <t>Utiliser les colonnes Y2 à Y5 pour des réplications éventuelles.</t>
  </si>
  <si>
    <t>QUE LES CELLULES</t>
  </si>
  <si>
    <t xml:space="preserve">Fact.A </t>
  </si>
  <si>
    <t>Fact.B</t>
  </si>
  <si>
    <t>Fact.C</t>
  </si>
  <si>
    <t>Fact.D</t>
  </si>
  <si>
    <t>Fact.E</t>
  </si>
  <si>
    <r>
      <t xml:space="preserve">utilisant uniquement des facteurs à 2 et 3 niveaux. </t>
    </r>
    <r>
      <rPr>
        <u/>
        <sz val="10"/>
        <rFont val="Times New Roman"/>
        <family val="1"/>
      </rPr>
      <t>Tous les effectifs doivent être équilibrés</t>
    </r>
    <r>
      <rPr>
        <sz val="10"/>
        <rFont val="Times New Roman"/>
        <family val="1"/>
      </rPr>
      <t>.</t>
    </r>
  </si>
  <si>
    <t>pour ce plan complet est :</t>
  </si>
  <si>
    <t>Deux facteurs à trois niveaux chacun</t>
  </si>
  <si>
    <t>et trois facteurs à deux niveaux chacun</t>
  </si>
  <si>
    <t>A1</t>
  </si>
  <si>
    <t>A2</t>
  </si>
  <si>
    <t>A3</t>
  </si>
  <si>
    <t>B1</t>
  </si>
  <si>
    <t>B2</t>
  </si>
  <si>
    <t>B3</t>
  </si>
  <si>
    <t>C1</t>
  </si>
  <si>
    <t>C2</t>
  </si>
  <si>
    <t>D1</t>
  </si>
  <si>
    <t>D2</t>
  </si>
  <si>
    <t>E1</t>
  </si>
  <si>
    <t>E2</t>
  </si>
  <si>
    <t>Données empilées</t>
  </si>
  <si>
    <t>Un facteur à trois niveaux</t>
  </si>
  <si>
    <t>Trois facteurs à trois niveaux chacun</t>
  </si>
  <si>
    <t>C3</t>
  </si>
  <si>
    <t>Plan factoriel complet à trois dimensions</t>
  </si>
  <si>
    <t>et un facteur à deux niveaux</t>
  </si>
  <si>
    <t>Plan factoriel complet à quatre dimensions</t>
  </si>
  <si>
    <t>Plan factoriel complet à cinq dimensions</t>
  </si>
  <si>
    <t>Deux facteurs à deux niveaux chacun</t>
  </si>
  <si>
    <t>et un facteur à trois niveaux</t>
  </si>
  <si>
    <t>Plan factoriel complet à deux dimensions</t>
  </si>
  <si>
    <t>Un facteur à deux niveaux et un facteur à trois niveaux</t>
  </si>
  <si>
    <r>
      <rPr>
        <u/>
        <sz val="9"/>
        <rFont val="Times New Roman"/>
        <family val="1"/>
      </rPr>
      <t>Contact</t>
    </r>
    <r>
      <rPr>
        <sz val="9"/>
        <rFont val="Times New Roman"/>
        <family val="1"/>
      </rPr>
      <t xml:space="preserve"> : info_at_anastats.fr</t>
    </r>
  </si>
  <si>
    <t>les effets principaux.</t>
  </si>
  <si>
    <t>Une fois les résultats saisis, chaque feuille fournit les graphiques des effets et des interactions.</t>
  </si>
  <si>
    <t>fact.a</t>
  </si>
  <si>
    <t>fact.b</t>
  </si>
  <si>
    <t>reponses</t>
  </si>
  <si>
    <t>groupes</t>
  </si>
  <si>
    <t>Réalisation de l'analyse de variance avec le logiciel R</t>
  </si>
  <si>
    <r>
      <rPr>
        <b/>
        <sz val="10"/>
        <rFont val="Times New Roman"/>
        <family val="1"/>
      </rPr>
      <t>1. Importer le tableau</t>
    </r>
    <r>
      <rPr>
        <sz val="10"/>
        <rFont val="Times New Roman"/>
        <family val="1"/>
      </rPr>
      <t xml:space="preserve"> des "données empilées" sous 'data', uniquement les lignes contenant des réponses numériques</t>
    </r>
  </si>
  <si>
    <t>et la ligne de titres de colonnes.</t>
  </si>
  <si>
    <t>2. ANOVA</t>
  </si>
  <si>
    <r>
      <rPr>
        <sz val="10"/>
        <rFont val="Times New Roman"/>
        <family val="1"/>
      </rPr>
      <t xml:space="preserve">  </t>
    </r>
    <r>
      <rPr>
        <u/>
        <sz val="10"/>
        <rFont val="Times New Roman"/>
        <family val="1"/>
      </rPr>
      <t>2.1. Si une seule série de réponses =&gt; ANOVA</t>
    </r>
  </si>
  <si>
    <t>f2n23&lt;-lm(reponses~fact.a + fact.b, data=data)</t>
  </si>
  <si>
    <t>summary(f2n23) # coefficients</t>
  </si>
  <si>
    <t>anova(f2n23) # tableau de l'ANOVA</t>
  </si>
  <si>
    <r>
      <rPr>
        <sz val="10"/>
        <rFont val="Times New Roman"/>
        <family val="1"/>
      </rPr>
      <t xml:space="preserve">  </t>
    </r>
    <r>
      <rPr>
        <u/>
        <sz val="10"/>
        <rFont val="Times New Roman"/>
        <family val="1"/>
      </rPr>
      <t>2.2. Si plusieurs séries de réponses</t>
    </r>
  </si>
  <si>
    <t xml:space="preserve">    2.2.1. Test de l'homogénéité des variances dans les groupes</t>
  </si>
  <si>
    <t xml:space="preserve">    2.2.2. ANOVA si plusieurs séries de réponses</t>
  </si>
  <si>
    <t>library(car)</t>
  </si>
  <si>
    <t>leveneTest(reponses~groupes, data)</t>
  </si>
  <si>
    <t>f2n23&lt;-lm(reponses~fact.a * fact.b, data=data)</t>
  </si>
  <si>
    <t>Commandes de l'ANOVA avec R</t>
  </si>
  <si>
    <t>sous le tableau des données empilées</t>
  </si>
  <si>
    <t>f2n33&lt;-lm(reponses~fact.a + fact.b, data=data)</t>
  </si>
  <si>
    <t>summary(f2n33) # coefficients</t>
  </si>
  <si>
    <t>anova(f2n33) # tableau de l'ANOVA</t>
  </si>
  <si>
    <t>f2n33&lt;-lm(reponses~fact.a * fact.b, data=data)</t>
  </si>
  <si>
    <t>fact.c</t>
  </si>
  <si>
    <r>
      <t xml:space="preserve">  </t>
    </r>
    <r>
      <rPr>
        <u/>
        <sz val="10"/>
        <rFont val="Times New Roman"/>
        <family val="1"/>
      </rPr>
      <t>2.1. Si une seule série de réponses =&gt; ANOVA</t>
    </r>
  </si>
  <si>
    <r>
      <t xml:space="preserve">  </t>
    </r>
    <r>
      <rPr>
        <u/>
        <sz val="10"/>
        <rFont val="Times New Roman"/>
        <family val="1"/>
      </rPr>
      <t>2.2. Si plusieurs séries de réponses</t>
    </r>
  </si>
  <si>
    <t>f3n232&lt;-lm(reponses~fact.a + fact.b + fact.c, data=data)</t>
  </si>
  <si>
    <t>summary(f3n232) # coefficients</t>
  </si>
  <si>
    <t>anova(f3n232) # tableau de l'ANOVA</t>
  </si>
  <si>
    <t>f3n232&lt;-lm(reponses~fact.a * fact.b * fact.c, data=data)</t>
  </si>
  <si>
    <t>f3n233&lt;-lm(reponses~fact.a + fact.b + fact.c, data=data)</t>
  </si>
  <si>
    <t>summary(f3n233) # coefficients</t>
  </si>
  <si>
    <t>anova(f3n233) # tableau de l'ANOVA</t>
  </si>
  <si>
    <t>f3n233&lt;-lm(reponses~fact.a * fact.b * fact.c, data=data)</t>
  </si>
  <si>
    <t>f3n333&lt;-lm(reponses~fact.a + fact.b + fact.c, data=data)</t>
  </si>
  <si>
    <t>summary(f3n333) # coefficients</t>
  </si>
  <si>
    <t>anova(f3n333) # tableau de l'ANOVA</t>
  </si>
  <si>
    <t>f3n333&lt;-lm(reponses~fact.a * fact.b * fact.c, data=data)</t>
  </si>
  <si>
    <t>fact.d</t>
  </si>
  <si>
    <t>f4n3222&lt;-lm(reponses~fact.a + fact.b + fact.c + fact.d, data=data)</t>
  </si>
  <si>
    <t>summary(f4n3222) # coefficients</t>
  </si>
  <si>
    <t>anova(f4n3222) # tableau de l'ANOVA</t>
  </si>
  <si>
    <t>f4n3222&lt;-lm(reponses~fact.a * fact.b * fact.c * fact.d, data=data)</t>
  </si>
  <si>
    <t>fact.e</t>
  </si>
  <si>
    <t>f5n33222&lt;-lm(reponses~fact.a + fact.b + fact.c + fact.d + fact.e, data=data)</t>
  </si>
  <si>
    <t>summary(f5n33222) # coefficients</t>
  </si>
  <si>
    <t>anova(f5n33222) # tableau de l'ANOVA</t>
  </si>
  <si>
    <t>f5n33222&lt;-lm(reponses~fact.a * fact.b * fact.c * fact.d * fact.e, data=data)</t>
  </si>
  <si>
    <t>Chaque feuille fournit également un tableau des données empilées et les commandes</t>
  </si>
  <si>
    <t>pour réaliser l'analyse de variance sous R.</t>
  </si>
  <si>
    <t>Deux solutions selon le déroulement des mesures :</t>
  </si>
  <si>
    <t>- solution 1 : toutes les mesures ont été randomisées ensemble.</t>
  </si>
  <si>
    <t>- solution 2 : les séries Y1, Y2, Y3…Y5 sont des réplications indépendantes</t>
  </si>
  <si>
    <t xml:space="preserve">  constituant des "blocs" entre lesquels existe une variation non contrôlée.</t>
  </si>
  <si>
    <t xml:space="preserve">  Il s'agit alors d'un modèle à effets mixtes.</t>
  </si>
  <si>
    <t>Solution 1 : effets fixes seuls</t>
  </si>
  <si>
    <t xml:space="preserve">   Il s'agit alors d'un modèle à effets fixes seuls.</t>
  </si>
  <si>
    <t>Solution 2 : effets mixtes</t>
  </si>
  <si>
    <t>library(nlme)</t>
  </si>
  <si>
    <t>f2n23&lt;-lme(reponses~fact.a*fact.b, random=~1|blocs, data=data)</t>
  </si>
  <si>
    <t>Anova(f2n23) # tableau de l'ANOVA</t>
  </si>
  <si>
    <t>shapiro.test(residuals(f2n23))</t>
  </si>
  <si>
    <t>blocs</t>
  </si>
  <si>
    <t>f2n33&lt;-lme(reponses~fact.a*fact.b, random=~1|blocs, data=data)</t>
  </si>
  <si>
    <t>Anova(f2n33) # tableau de l'ANOVA</t>
  </si>
  <si>
    <t>shapiro.test(residuals(f2n33))</t>
  </si>
  <si>
    <t>f3n232&lt;-lme(reponses~fact.a*fact.b*fact.c, random=~1|blocs, data=data)</t>
  </si>
  <si>
    <t>Anova(f3n232) # tableau de l'ANOVA</t>
  </si>
  <si>
    <t>shapiro.test(residuals(f3n232))</t>
  </si>
  <si>
    <t>hist(residuals(f3n232))</t>
  </si>
  <si>
    <r>
      <rPr>
        <b/>
        <sz val="10"/>
        <rFont val="Times New Roman"/>
        <family val="1"/>
      </rPr>
      <t>3. Test et observation de la normalité des résidus</t>
    </r>
    <r>
      <rPr>
        <sz val="10"/>
        <rFont val="Times New Roman"/>
        <family val="1"/>
      </rPr>
      <t xml:space="preserve"> (dans tous les cas)</t>
    </r>
  </si>
  <si>
    <t>hist(residuals(f2n33))</t>
  </si>
  <si>
    <t>hist(residuals(f2n23))</t>
  </si>
  <si>
    <t>f3n233&lt;-lme(reponses~fact.a*fact.b*fact.c, random=~1|blocs, data=data)</t>
  </si>
  <si>
    <t>Anova(f3n233) # tableau de l'ANOVA</t>
  </si>
  <si>
    <t>shapiro.test(residuals(f3n233))</t>
  </si>
  <si>
    <t>hist(residuals(f3n233))</t>
  </si>
  <si>
    <t>f3n333&lt;-lme(reponses~fact.a*fact.b*fact.c, random=~1|blocs, data=data)</t>
  </si>
  <si>
    <t>Anova(f3n333) # tableau de l'ANOVA</t>
  </si>
  <si>
    <t>shapiro.test(residuals(f3n333))</t>
  </si>
  <si>
    <t>hist(residuals(f3n333))</t>
  </si>
  <si>
    <t>qqnorm(residuals(f3n333)) ; qqline(residuals(f3n333))</t>
  </si>
  <si>
    <t>qqnorm(residuals(f3n233)) ; qqline(residuals(f3n233))</t>
  </si>
  <si>
    <t>qqnorm(residuals(f3n232)) ; qqline(residuals(f3n232))</t>
  </si>
  <si>
    <t>qqnorm(residuals(f2n33)) ; qqline(residuals(f2n33))</t>
  </si>
  <si>
    <t>qqnorm(residuals(f2n23)) ; qqline(residuals(f2n23))</t>
  </si>
  <si>
    <t>Anova(f4n3222) # tableau de l'ANOVA</t>
  </si>
  <si>
    <t>shapiro.test(residuals(f4n3222))</t>
  </si>
  <si>
    <t>qqnorm(residuals(f4n3222)) ; qqline(residuals(f4n3222))</t>
  </si>
  <si>
    <t>hist(residuals(f4n3222))</t>
  </si>
  <si>
    <t>f4n3222&lt;-lme(reponses~fact.a*fact.b*fact.c*fact.d, random=~1|blocs, data=data)</t>
  </si>
  <si>
    <t>Anova(f5n33222) # tableau de l'ANOVA</t>
  </si>
  <si>
    <t>shapiro.test(residuals(f5n33222))</t>
  </si>
  <si>
    <t>qqnorm(residuals(f5n33222)) ; qqline(residuals(f5n33222))</t>
  </si>
  <si>
    <t>hist(residuals(f5n33222))</t>
  </si>
  <si>
    <t>f5n33222&lt;-lme(reponses~fact.a*fact.b*fact.c*fact.d*fact.e, random=~1|blocs, data=data)</t>
  </si>
  <si>
    <t>info@anastats.fr</t>
  </si>
  <si>
    <t>info@anasats.fr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</si>
</sst>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"/>
    <numFmt numFmtId="166" formatCode="0.0"/>
    <numFmt numFmtId="167" formatCode="0.000000"/>
  </numFmts>
  <fonts count="39">
    <font>
      <sz val="10"/>
      <name val="Times New Roman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0"/>
      <color indexed="16"/>
      <name val="Times New Roman"/>
      <family val="1"/>
    </font>
    <font>
      <b/>
      <i/>
      <sz val="10"/>
      <color indexed="56"/>
      <name val="Times New Roman"/>
      <family val="1"/>
    </font>
    <font>
      <sz val="10"/>
      <name val="Arial"/>
      <family val="2"/>
    </font>
    <font>
      <i/>
      <sz val="11"/>
      <name val="Times New Roman"/>
      <family val="1"/>
    </font>
    <font>
      <sz val="11"/>
      <name val="Arial"/>
      <family val="2"/>
    </font>
    <font>
      <b/>
      <i/>
      <sz val="11"/>
      <color indexed="32"/>
      <name val="Times New Roman"/>
      <family val="1"/>
    </font>
    <font>
      <i/>
      <sz val="10"/>
      <color indexed="32"/>
      <name val="Times New Roman"/>
      <family val="1"/>
    </font>
    <font>
      <b/>
      <sz val="11"/>
      <color indexed="16"/>
      <name val="Times New Roman"/>
      <family val="1"/>
    </font>
    <font>
      <b/>
      <i/>
      <sz val="10"/>
      <name val="Times New Roman"/>
      <family val="1"/>
    </font>
    <font>
      <b/>
      <i/>
      <sz val="10"/>
      <color indexed="32"/>
      <name val="Times New Roman"/>
      <family val="1"/>
    </font>
    <font>
      <i/>
      <sz val="10"/>
      <color indexed="32"/>
      <name val="Times New Roman"/>
      <family val="1"/>
    </font>
    <font>
      <u/>
      <sz val="10"/>
      <color indexed="12"/>
      <name val="Times New Roman"/>
      <family val="1"/>
    </font>
    <font>
      <sz val="11"/>
      <name val="Trebuchet MS"/>
      <family val="2"/>
    </font>
    <font>
      <b/>
      <sz val="10"/>
      <color rgb="FFFF0000"/>
      <name val="Arial"/>
      <family val="2"/>
    </font>
    <font>
      <u/>
      <sz val="9"/>
      <color theme="10"/>
      <name val="Times New Roman"/>
      <family val="1"/>
    </font>
    <font>
      <u/>
      <sz val="10"/>
      <name val="Times New Roman"/>
      <family val="1"/>
    </font>
    <font>
      <sz val="10"/>
      <color indexed="3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  <font>
      <b/>
      <sz val="11"/>
      <name val="Trebuchet MS"/>
      <family val="2"/>
    </font>
    <font>
      <b/>
      <sz val="10"/>
      <name val="Courier New"/>
      <family val="3"/>
    </font>
    <font>
      <b/>
      <sz val="12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282">
    <xf numFmtId="0" fontId="0" fillId="0" borderId="0" xfId="0"/>
    <xf numFmtId="0" fontId="0" fillId="0" borderId="15" xfId="0" applyBorder="1"/>
    <xf numFmtId="164" fontId="0" fillId="0" borderId="0" xfId="0" applyNumberFormat="1" applyAlignment="1"/>
    <xf numFmtId="164" fontId="0" fillId="0" borderId="15" xfId="0" applyNumberFormat="1" applyBorder="1" applyAlignment="1"/>
    <xf numFmtId="0" fontId="0" fillId="0" borderId="1" xfId="0" applyBorder="1"/>
    <xf numFmtId="164" fontId="0" fillId="0" borderId="1" xfId="0" applyNumberFormat="1" applyBorder="1" applyAlignment="1"/>
    <xf numFmtId="0" fontId="0" fillId="3" borderId="3" xfId="0" applyFill="1" applyBorder="1" applyAlignment="1" applyProtection="1">
      <alignment horizontal="center"/>
      <protection locked="0"/>
    </xf>
    <xf numFmtId="49" fontId="0" fillId="0" borderId="0" xfId="0" applyNumberFormat="1" applyAlignment="1"/>
    <xf numFmtId="49" fontId="0" fillId="0" borderId="1" xfId="0" applyNumberFormat="1" applyBorder="1" applyAlignment="1"/>
    <xf numFmtId="49" fontId="0" fillId="0" borderId="15" xfId="0" applyNumberFormat="1" applyBorder="1" applyAlignment="1"/>
    <xf numFmtId="0" fontId="0" fillId="4" borderId="0" xfId="0" applyFill="1"/>
    <xf numFmtId="0" fontId="4" fillId="4" borderId="0" xfId="0" applyFont="1" applyFill="1" applyBorder="1" applyAlignment="1">
      <alignment horizontal="centerContinuous"/>
    </xf>
    <xf numFmtId="0" fontId="0" fillId="4" borderId="0" xfId="0" applyFill="1" applyAlignment="1">
      <alignment horizontal="center"/>
    </xf>
    <xf numFmtId="49" fontId="0" fillId="4" borderId="0" xfId="0" applyNumberFormat="1" applyFill="1" applyAlignment="1">
      <alignment horizontal="center"/>
    </xf>
    <xf numFmtId="49" fontId="0" fillId="4" borderId="0" xfId="0" applyNumberFormat="1" applyFill="1"/>
    <xf numFmtId="164" fontId="0" fillId="4" borderId="0" xfId="0" applyNumberFormat="1" applyFill="1"/>
    <xf numFmtId="0" fontId="8" fillId="4" borderId="0" xfId="0" applyFont="1" applyFill="1"/>
    <xf numFmtId="0" fontId="1" fillId="4" borderId="0" xfId="0" applyFont="1" applyFill="1" applyAlignment="1">
      <alignment horizontal="centerContinuous" wrapText="1"/>
    </xf>
    <xf numFmtId="0" fontId="0" fillId="4" borderId="0" xfId="0" applyFill="1" applyAlignment="1">
      <alignment horizontal="centerContinuous"/>
    </xf>
    <xf numFmtId="0" fontId="18" fillId="4" borderId="0" xfId="0" applyFont="1" applyFill="1" applyBorder="1" applyAlignment="1">
      <alignment horizontal="center" vertical="center"/>
    </xf>
    <xf numFmtId="0" fontId="0" fillId="4" borderId="0" xfId="0" applyNumberFormat="1" applyFill="1"/>
    <xf numFmtId="0" fontId="1" fillId="4" borderId="0" xfId="0" applyNumberFormat="1" applyFont="1" applyFill="1"/>
    <xf numFmtId="2" fontId="0" fillId="4" borderId="0" xfId="0" applyNumberFormat="1" applyFill="1"/>
    <xf numFmtId="166" fontId="0" fillId="4" borderId="0" xfId="0" applyNumberFormat="1" applyFill="1"/>
    <xf numFmtId="0" fontId="1" fillId="4" borderId="0" xfId="0" applyFont="1" applyFill="1"/>
    <xf numFmtId="0" fontId="0" fillId="4" borderId="0" xfId="0" applyFill="1" applyBorder="1"/>
    <xf numFmtId="0" fontId="4" fillId="4" borderId="0" xfId="0" applyFont="1" applyFill="1" applyBorder="1" applyAlignment="1">
      <alignment horizontal="center"/>
    </xf>
    <xf numFmtId="164" fontId="4" fillId="4" borderId="0" xfId="0" applyNumberFormat="1" applyFont="1" applyFill="1" applyBorder="1" applyAlignment="1">
      <alignment horizontal="center"/>
    </xf>
    <xf numFmtId="164" fontId="0" fillId="4" borderId="0" xfId="0" applyNumberFormat="1" applyFill="1" applyBorder="1"/>
    <xf numFmtId="0" fontId="4" fillId="4" borderId="0" xfId="0" applyFont="1" applyFill="1" applyBorder="1"/>
    <xf numFmtId="164" fontId="4" fillId="4" borderId="0" xfId="0" applyNumberFormat="1" applyFont="1" applyFill="1" applyBorder="1" applyAlignment="1">
      <alignment horizontal="left"/>
    </xf>
    <xf numFmtId="0" fontId="9" fillId="4" borderId="0" xfId="0" applyFont="1" applyFill="1" applyBorder="1" applyAlignment="1">
      <alignment horizontal="right"/>
    </xf>
    <xf numFmtId="164" fontId="0" fillId="4" borderId="0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left"/>
    </xf>
    <xf numFmtId="0" fontId="3" fillId="4" borderId="0" xfId="0" applyFont="1" applyFill="1" applyBorder="1"/>
    <xf numFmtId="0" fontId="3" fillId="4" borderId="0" xfId="0" applyFont="1" applyFill="1"/>
    <xf numFmtId="0" fontId="25" fillId="4" borderId="0" xfId="0" applyFont="1" applyFill="1" applyBorder="1"/>
    <xf numFmtId="0" fontId="25" fillId="4" borderId="0" xfId="0" applyFont="1" applyFill="1"/>
    <xf numFmtId="0" fontId="4" fillId="5" borderId="7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centerContinuous"/>
    </xf>
    <xf numFmtId="0" fontId="0" fillId="5" borderId="2" xfId="0" applyFill="1" applyBorder="1"/>
    <xf numFmtId="0" fontId="1" fillId="5" borderId="3" xfId="0" applyFont="1" applyFill="1" applyBorder="1" applyAlignment="1">
      <alignment horizontal="center"/>
    </xf>
    <xf numFmtId="0" fontId="0" fillId="5" borderId="4" xfId="0" applyFill="1" applyBorder="1" applyAlignment="1">
      <alignment horizontal="right"/>
    </xf>
    <xf numFmtId="0" fontId="4" fillId="5" borderId="3" xfId="0" applyFont="1" applyFill="1" applyBorder="1" applyAlignment="1">
      <alignment horizontal="center" vertical="center"/>
    </xf>
    <xf numFmtId="0" fontId="4" fillId="5" borderId="3" xfId="0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3" fillId="5" borderId="3" xfId="0" applyNumberFormat="1" applyFont="1" applyFill="1" applyBorder="1" applyAlignment="1">
      <alignment horizontal="center"/>
    </xf>
    <xf numFmtId="0" fontId="0" fillId="2" borderId="3" xfId="0" applyNumberFormat="1" applyFill="1" applyBorder="1" applyAlignment="1" applyProtection="1">
      <alignment horizontal="center"/>
      <protection locked="0"/>
    </xf>
    <xf numFmtId="0" fontId="3" fillId="2" borderId="3" xfId="0" applyNumberFormat="1" applyFont="1" applyFill="1" applyBorder="1" applyAlignment="1" applyProtection="1">
      <alignment horizontal="center"/>
      <protection locked="0"/>
    </xf>
    <xf numFmtId="0" fontId="4" fillId="5" borderId="17" xfId="0" applyFont="1" applyFill="1" applyBorder="1" applyAlignment="1">
      <alignment horizontal="centerContinuous"/>
    </xf>
    <xf numFmtId="0" fontId="1" fillId="5" borderId="21" xfId="0" applyFont="1" applyFill="1" applyBorder="1" applyAlignment="1">
      <alignment horizontal="center"/>
    </xf>
    <xf numFmtId="0" fontId="3" fillId="2" borderId="21" xfId="0" applyNumberFormat="1" applyFont="1" applyFill="1" applyBorder="1" applyAlignment="1" applyProtection="1">
      <alignment horizontal="center"/>
      <protection locked="0"/>
    </xf>
    <xf numFmtId="0" fontId="0" fillId="5" borderId="18" xfId="0" applyFill="1" applyBorder="1"/>
    <xf numFmtId="0" fontId="0" fillId="5" borderId="22" xfId="0" applyFill="1" applyBorder="1" applyAlignment="1">
      <alignment horizontal="right"/>
    </xf>
    <xf numFmtId="0" fontId="0" fillId="2" borderId="23" xfId="0" applyNumberFormat="1" applyFill="1" applyBorder="1" applyAlignment="1" applyProtection="1">
      <alignment horizontal="center"/>
      <protection locked="0"/>
    </xf>
    <xf numFmtId="0" fontId="3" fillId="2" borderId="23" xfId="0" applyNumberFormat="1" applyFont="1" applyFill="1" applyBorder="1" applyAlignment="1" applyProtection="1">
      <alignment horizontal="center"/>
      <protection locked="0"/>
    </xf>
    <xf numFmtId="0" fontId="0" fillId="5" borderId="20" xfId="0" applyFill="1" applyBorder="1"/>
    <xf numFmtId="0" fontId="11" fillId="4" borderId="0" xfId="0" applyFont="1" applyFill="1" applyBorder="1" applyAlignment="1">
      <alignment vertical="center"/>
    </xf>
    <xf numFmtId="49" fontId="1" fillId="4" borderId="0" xfId="0" applyNumberFormat="1" applyFont="1" applyFill="1" applyBorder="1"/>
    <xf numFmtId="0" fontId="24" fillId="4" borderId="0" xfId="0" applyFont="1" applyFill="1" applyBorder="1"/>
    <xf numFmtId="0" fontId="1" fillId="4" borderId="0" xfId="0" applyFont="1" applyFill="1" applyBorder="1"/>
    <xf numFmtId="0" fontId="4" fillId="6" borderId="3" xfId="0" applyFont="1" applyFill="1" applyBorder="1"/>
    <xf numFmtId="0" fontId="4" fillId="6" borderId="3" xfId="0" applyFont="1" applyFill="1" applyBorder="1" applyAlignment="1">
      <alignment horizontal="center"/>
    </xf>
    <xf numFmtId="164" fontId="4" fillId="6" borderId="3" xfId="0" applyNumberFormat="1" applyFont="1" applyFill="1" applyBorder="1" applyAlignment="1">
      <alignment horizontal="center"/>
    </xf>
    <xf numFmtId="0" fontId="17" fillId="4" borderId="0" xfId="0" applyFont="1" applyFill="1" applyBorder="1" applyAlignment="1">
      <alignment horizontal="center"/>
    </xf>
    <xf numFmtId="164" fontId="17" fillId="4" borderId="0" xfId="0" applyNumberFormat="1" applyFont="1" applyFill="1" applyBorder="1" applyAlignment="1">
      <alignment horizontal="center"/>
    </xf>
    <xf numFmtId="1" fontId="17" fillId="4" borderId="0" xfId="0" applyNumberFormat="1" applyFont="1" applyFill="1" applyBorder="1" applyAlignment="1">
      <alignment horizontal="center"/>
    </xf>
    <xf numFmtId="165" fontId="17" fillId="4" borderId="0" xfId="0" applyNumberFormat="1" applyFont="1" applyFill="1" applyBorder="1" applyAlignment="1">
      <alignment horizontal="center"/>
    </xf>
    <xf numFmtId="2" fontId="17" fillId="4" borderId="0" xfId="0" applyNumberFormat="1" applyFont="1" applyFill="1" applyBorder="1" applyAlignment="1">
      <alignment horizontal="center"/>
    </xf>
    <xf numFmtId="0" fontId="17" fillId="4" borderId="0" xfId="0" applyFont="1" applyFill="1" applyAlignment="1">
      <alignment horizontal="center"/>
    </xf>
    <xf numFmtId="0" fontId="17" fillId="4" borderId="0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/>
    </xf>
    <xf numFmtId="165" fontId="31" fillId="4" borderId="0" xfId="0" applyNumberFormat="1" applyFont="1" applyFill="1" applyBorder="1" applyAlignment="1">
      <alignment horizontal="center"/>
    </xf>
    <xf numFmtId="2" fontId="31" fillId="4" borderId="0" xfId="0" applyNumberFormat="1" applyFont="1" applyFill="1" applyBorder="1" applyAlignment="1">
      <alignment horizontal="center"/>
    </xf>
    <xf numFmtId="164" fontId="17" fillId="4" borderId="9" xfId="0" applyNumberFormat="1" applyFont="1" applyFill="1" applyBorder="1" applyAlignment="1">
      <alignment horizontal="center"/>
    </xf>
    <xf numFmtId="164" fontId="17" fillId="4" borderId="24" xfId="0" applyNumberFormat="1" applyFont="1" applyFill="1" applyBorder="1" applyAlignment="1">
      <alignment horizontal="center"/>
    </xf>
    <xf numFmtId="0" fontId="17" fillId="4" borderId="24" xfId="0" applyFont="1" applyFill="1" applyBorder="1" applyAlignment="1">
      <alignment horizontal="center"/>
    </xf>
    <xf numFmtId="0" fontId="17" fillId="4" borderId="24" xfId="0" applyFont="1" applyFill="1" applyBorder="1" applyAlignment="1">
      <alignment horizontal="center" vertical="center" wrapText="1"/>
    </xf>
    <xf numFmtId="2" fontId="17" fillId="4" borderId="24" xfId="0" applyNumberFormat="1" applyFont="1" applyFill="1" applyBorder="1" applyAlignment="1">
      <alignment horizontal="center"/>
    </xf>
    <xf numFmtId="2" fontId="31" fillId="4" borderId="24" xfId="0" applyNumberFormat="1" applyFont="1" applyFill="1" applyBorder="1" applyAlignment="1">
      <alignment horizontal="center"/>
    </xf>
    <xf numFmtId="0" fontId="17" fillId="4" borderId="16" xfId="0" applyFont="1" applyFill="1" applyBorder="1" applyAlignment="1">
      <alignment horizontal="center"/>
    </xf>
    <xf numFmtId="1" fontId="17" fillId="4" borderId="24" xfId="0" applyNumberFormat="1" applyFont="1" applyFill="1" applyBorder="1" applyAlignment="1">
      <alignment horizontal="center"/>
    </xf>
    <xf numFmtId="1" fontId="31" fillId="4" borderId="24" xfId="0" applyNumberFormat="1" applyFont="1" applyFill="1" applyBorder="1" applyAlignment="1">
      <alignment horizontal="center"/>
    </xf>
    <xf numFmtId="164" fontId="31" fillId="4" borderId="24" xfId="0" applyNumberFormat="1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Continuous"/>
    </xf>
    <xf numFmtId="9" fontId="0" fillId="4" borderId="0" xfId="0" applyNumberFormat="1" applyFill="1"/>
    <xf numFmtId="0" fontId="2" fillId="4" borderId="0" xfId="0" applyFont="1" applyFill="1" applyBorder="1"/>
    <xf numFmtId="0" fontId="23" fillId="4" borderId="0" xfId="0" applyFont="1" applyFill="1"/>
    <xf numFmtId="164" fontId="2" fillId="4" borderId="0" xfId="0" applyNumberFormat="1" applyFont="1" applyFill="1" applyBorder="1" applyAlignment="1">
      <alignment horizontal="center"/>
    </xf>
    <xf numFmtId="0" fontId="4" fillId="4" borderId="0" xfId="0" applyNumberFormat="1" applyFont="1" applyFill="1" applyBorder="1" applyAlignment="1">
      <alignment horizontal="center"/>
    </xf>
    <xf numFmtId="0" fontId="0" fillId="4" borderId="0" xfId="0" applyNumberFormat="1" applyFill="1" applyBorder="1"/>
    <xf numFmtId="49" fontId="1" fillId="4" borderId="0" xfId="0" applyNumberFormat="1" applyFont="1" applyFill="1"/>
    <xf numFmtId="0" fontId="21" fillId="4" borderId="0" xfId="0" applyFont="1" applyFill="1" applyBorder="1"/>
    <xf numFmtId="0" fontId="21" fillId="4" borderId="0" xfId="0" applyFont="1" applyFill="1"/>
    <xf numFmtId="0" fontId="4" fillId="5" borderId="7" xfId="0" applyFont="1" applyFill="1" applyBorder="1" applyAlignment="1"/>
    <xf numFmtId="0" fontId="4" fillId="5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/>
    </xf>
    <xf numFmtId="164" fontId="1" fillId="5" borderId="3" xfId="0" applyNumberFormat="1" applyFont="1" applyFill="1" applyBorder="1" applyAlignment="1">
      <alignment horizontal="center"/>
    </xf>
    <xf numFmtId="0" fontId="0" fillId="2" borderId="21" xfId="0" applyNumberFormat="1" applyFill="1" applyBorder="1" applyAlignment="1" applyProtection="1">
      <alignment horizont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/>
      <protection locked="0"/>
    </xf>
    <xf numFmtId="49" fontId="4" fillId="4" borderId="0" xfId="0" applyNumberFormat="1" applyFont="1" applyFill="1" applyBorder="1"/>
    <xf numFmtId="0" fontId="20" fillId="4" borderId="0" xfId="0" applyFont="1" applyFill="1" applyBorder="1"/>
    <xf numFmtId="0" fontId="1" fillId="4" borderId="0" xfId="0" applyNumberFormat="1" applyFont="1" applyFill="1" applyBorder="1"/>
    <xf numFmtId="49" fontId="17" fillId="4" borderId="0" xfId="0" applyNumberFormat="1" applyFont="1" applyFill="1" applyBorder="1" applyAlignment="1">
      <alignment horizontal="center"/>
    </xf>
    <xf numFmtId="0" fontId="17" fillId="4" borderId="0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/>
    </xf>
    <xf numFmtId="164" fontId="17" fillId="4" borderId="10" xfId="0" applyNumberFormat="1" applyFont="1" applyFill="1" applyBorder="1" applyAlignment="1">
      <alignment horizontal="center"/>
    </xf>
    <xf numFmtId="1" fontId="17" fillId="4" borderId="5" xfId="0" applyNumberFormat="1" applyFont="1" applyFill="1" applyBorder="1" applyAlignment="1">
      <alignment horizontal="center"/>
    </xf>
    <xf numFmtId="165" fontId="17" fillId="4" borderId="5" xfId="0" applyNumberFormat="1" applyFont="1" applyFill="1" applyBorder="1" applyAlignment="1">
      <alignment horizontal="center"/>
    </xf>
    <xf numFmtId="2" fontId="17" fillId="4" borderId="5" xfId="0" applyNumberFormat="1" applyFont="1" applyFill="1" applyBorder="1" applyAlignment="1">
      <alignment horizontal="center"/>
    </xf>
    <xf numFmtId="0" fontId="17" fillId="4" borderId="9" xfId="0" applyFont="1" applyFill="1" applyBorder="1" applyAlignment="1">
      <alignment horizontal="center"/>
    </xf>
    <xf numFmtId="0" fontId="17" fillId="4" borderId="24" xfId="0" applyFont="1" applyFill="1" applyBorder="1" applyAlignment="1">
      <alignment horizontal="center" vertical="center"/>
    </xf>
    <xf numFmtId="2" fontId="17" fillId="4" borderId="16" xfId="0" applyNumberFormat="1" applyFont="1" applyFill="1" applyBorder="1" applyAlignment="1">
      <alignment horizontal="center"/>
    </xf>
    <xf numFmtId="165" fontId="17" fillId="4" borderId="24" xfId="0" applyNumberFormat="1" applyFont="1" applyFill="1" applyBorder="1" applyAlignment="1">
      <alignment horizontal="center"/>
    </xf>
    <xf numFmtId="165" fontId="17" fillId="4" borderId="16" xfId="0" applyNumberFormat="1" applyFont="1" applyFill="1" applyBorder="1" applyAlignment="1">
      <alignment horizontal="center"/>
    </xf>
    <xf numFmtId="164" fontId="17" fillId="4" borderId="16" xfId="0" applyNumberFormat="1" applyFont="1" applyFill="1" applyBorder="1" applyAlignment="1">
      <alignment horizontal="center"/>
    </xf>
    <xf numFmtId="0" fontId="32" fillId="4" borderId="3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49" fontId="0" fillId="4" borderId="0" xfId="0" applyNumberFormat="1" applyFill="1" applyBorder="1" applyAlignment="1">
      <alignment horizontal="center"/>
    </xf>
    <xf numFmtId="0" fontId="0" fillId="4" borderId="0" xfId="0" applyFill="1" applyAlignment="1"/>
    <xf numFmtId="0" fontId="0" fillId="4" borderId="0" xfId="0" applyFill="1" applyBorder="1" applyAlignment="1">
      <alignment horizontal="center"/>
    </xf>
    <xf numFmtId="0" fontId="12" fillId="4" borderId="0" xfId="0" applyFont="1" applyFill="1" applyBorder="1"/>
    <xf numFmtId="164" fontId="9" fillId="4" borderId="0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5" borderId="4" xfId="0" applyFont="1" applyFill="1" applyBorder="1" applyAlignment="1" applyProtection="1">
      <alignment horizontal="right"/>
    </xf>
    <xf numFmtId="0" fontId="1" fillId="5" borderId="22" xfId="0" applyFont="1" applyFill="1" applyBorder="1" applyAlignment="1" applyProtection="1">
      <alignment horizontal="right"/>
    </xf>
    <xf numFmtId="0" fontId="0" fillId="5" borderId="3" xfId="0" applyFill="1" applyBorder="1" applyAlignment="1">
      <alignment horizontal="center" vertical="center"/>
    </xf>
    <xf numFmtId="0" fontId="0" fillId="5" borderId="3" xfId="0" applyNumberFormat="1" applyFill="1" applyBorder="1" applyAlignment="1">
      <alignment horizontal="center"/>
    </xf>
    <xf numFmtId="0" fontId="0" fillId="2" borderId="25" xfId="0" applyNumberFormat="1" applyFill="1" applyBorder="1" applyAlignment="1" applyProtection="1">
      <alignment horizontal="center"/>
      <protection locked="0"/>
    </xf>
    <xf numFmtId="0" fontId="7" fillId="4" borderId="0" xfId="0" applyFont="1" applyFill="1" applyBorder="1"/>
    <xf numFmtId="0" fontId="10" fillId="4" borderId="0" xfId="0" applyFont="1" applyFill="1" applyBorder="1"/>
    <xf numFmtId="0" fontId="13" fillId="4" borderId="0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center" vertical="center" wrapText="1"/>
    </xf>
    <xf numFmtId="165" fontId="1" fillId="4" borderId="0" xfId="0" applyNumberFormat="1" applyFont="1" applyFill="1" applyBorder="1" applyAlignment="1">
      <alignment horizontal="center"/>
    </xf>
    <xf numFmtId="0" fontId="16" fillId="4" borderId="0" xfId="0" applyNumberFormat="1" applyFont="1" applyFill="1" applyBorder="1"/>
    <xf numFmtId="165" fontId="16" fillId="4" borderId="0" xfId="0" applyNumberFormat="1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/>
    </xf>
    <xf numFmtId="164" fontId="5" fillId="4" borderId="0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center" vertical="center" wrapText="1"/>
    </xf>
    <xf numFmtId="165" fontId="3" fillId="4" borderId="0" xfId="0" applyNumberFormat="1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64" fontId="19" fillId="4" borderId="0" xfId="0" applyNumberFormat="1" applyFont="1" applyFill="1" applyBorder="1" applyAlignment="1">
      <alignment horizontal="center"/>
    </xf>
    <xf numFmtId="0" fontId="19" fillId="4" borderId="0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 vertical="center" wrapText="1"/>
    </xf>
    <xf numFmtId="49" fontId="0" fillId="5" borderId="21" xfId="0" applyNumberFormat="1" applyFill="1" applyBorder="1" applyAlignment="1" applyProtection="1">
      <alignment horizontal="center"/>
    </xf>
    <xf numFmtId="0" fontId="1" fillId="5" borderId="22" xfId="0" applyFont="1" applyFill="1" applyBorder="1" applyAlignment="1">
      <alignment horizontal="right"/>
    </xf>
    <xf numFmtId="0" fontId="32" fillId="4" borderId="0" xfId="0" applyFont="1" applyFill="1" applyBorder="1" applyAlignment="1">
      <alignment horizontal="center" vertical="center" wrapText="1"/>
    </xf>
    <xf numFmtId="167" fontId="32" fillId="4" borderId="0" xfId="0" applyNumberFormat="1" applyFont="1" applyFill="1" applyBorder="1" applyAlignment="1">
      <alignment horizontal="center"/>
    </xf>
    <xf numFmtId="167" fontId="33" fillId="4" borderId="0" xfId="0" applyNumberFormat="1" applyFont="1" applyFill="1" applyBorder="1" applyAlignment="1">
      <alignment horizontal="center"/>
    </xf>
    <xf numFmtId="0" fontId="32" fillId="4" borderId="0" xfId="0" applyFont="1" applyFill="1" applyBorder="1" applyAlignment="1">
      <alignment horizontal="center"/>
    </xf>
    <xf numFmtId="49" fontId="32" fillId="4" borderId="0" xfId="0" applyNumberFormat="1" applyFont="1" applyFill="1" applyBorder="1" applyAlignment="1">
      <alignment horizontal="center"/>
    </xf>
    <xf numFmtId="0" fontId="33" fillId="4" borderId="0" xfId="0" applyNumberFormat="1" applyFont="1" applyFill="1" applyBorder="1" applyAlignment="1">
      <alignment horizontal="center"/>
    </xf>
    <xf numFmtId="0" fontId="32" fillId="4" borderId="0" xfId="0" applyFont="1" applyFill="1" applyBorder="1" applyAlignment="1">
      <alignment horizontal="left"/>
    </xf>
    <xf numFmtId="1" fontId="17" fillId="4" borderId="16" xfId="0" applyNumberFormat="1" applyFont="1" applyFill="1" applyBorder="1" applyAlignment="1">
      <alignment horizontal="center"/>
    </xf>
    <xf numFmtId="164" fontId="17" fillId="4" borderId="24" xfId="0" applyNumberFormat="1" applyFont="1" applyFill="1" applyBorder="1" applyAlignment="1">
      <alignment horizontal="center" vertical="center"/>
    </xf>
    <xf numFmtId="164" fontId="17" fillId="4" borderId="24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4" borderId="12" xfId="0" applyFont="1" applyFill="1" applyBorder="1"/>
    <xf numFmtId="0" fontId="4" fillId="4" borderId="13" xfId="0" applyFont="1" applyFill="1" applyBorder="1"/>
    <xf numFmtId="9" fontId="4" fillId="4" borderId="11" xfId="0" applyNumberFormat="1" applyFont="1" applyFill="1" applyBorder="1"/>
    <xf numFmtId="9" fontId="4" fillId="4" borderId="14" xfId="0" applyNumberFormat="1" applyFont="1" applyFill="1" applyBorder="1"/>
    <xf numFmtId="9" fontId="4" fillId="4" borderId="12" xfId="0" applyNumberFormat="1" applyFont="1" applyFill="1" applyBorder="1"/>
    <xf numFmtId="0" fontId="4" fillId="4" borderId="10" xfId="0" applyFont="1" applyFill="1" applyBorder="1"/>
    <xf numFmtId="2" fontId="4" fillId="4" borderId="12" xfId="0" applyNumberFormat="1" applyFont="1" applyFill="1" applyBorder="1" applyAlignment="1">
      <alignment horizontal="center"/>
    </xf>
    <xf numFmtId="2" fontId="4" fillId="4" borderId="13" xfId="0" applyNumberFormat="1" applyFont="1" applyFill="1" applyBorder="1" applyAlignment="1">
      <alignment horizontal="center"/>
    </xf>
    <xf numFmtId="2" fontId="4" fillId="4" borderId="11" xfId="0" applyNumberFormat="1" applyFont="1" applyFill="1" applyBorder="1" applyAlignment="1">
      <alignment horizontal="center"/>
    </xf>
    <xf numFmtId="2" fontId="4" fillId="4" borderId="14" xfId="0" applyNumberFormat="1" applyFont="1" applyFill="1" applyBorder="1" applyAlignment="1">
      <alignment horizontal="center"/>
    </xf>
    <xf numFmtId="9" fontId="4" fillId="4" borderId="8" xfId="0" applyNumberFormat="1" applyFont="1" applyFill="1" applyBorder="1"/>
    <xf numFmtId="0" fontId="4" fillId="4" borderId="5" xfId="0" applyFont="1" applyFill="1" applyBorder="1"/>
    <xf numFmtId="2" fontId="4" fillId="4" borderId="8" xfId="0" applyNumberFormat="1" applyFont="1" applyFill="1" applyBorder="1" applyAlignment="1">
      <alignment horizontal="center"/>
    </xf>
    <xf numFmtId="2" fontId="4" fillId="4" borderId="6" xfId="0" applyNumberFormat="1" applyFont="1" applyFill="1" applyBorder="1" applyAlignment="1">
      <alignment horizontal="center"/>
    </xf>
    <xf numFmtId="0" fontId="4" fillId="4" borderId="8" xfId="0" applyFont="1" applyFill="1" applyBorder="1"/>
    <xf numFmtId="0" fontId="0" fillId="5" borderId="21" xfId="0" applyNumberFormat="1" applyFill="1" applyBorder="1" applyAlignment="1">
      <alignment horizontal="center"/>
    </xf>
    <xf numFmtId="0" fontId="0" fillId="5" borderId="25" xfId="0" applyNumberFormat="1" applyFill="1" applyBorder="1" applyAlignment="1">
      <alignment horizontal="center"/>
    </xf>
    <xf numFmtId="49" fontId="4" fillId="5" borderId="3" xfId="0" applyNumberFormat="1" applyFont="1" applyFill="1" applyBorder="1" applyAlignment="1">
      <alignment horizontal="center" vertical="center" wrapText="1"/>
    </xf>
    <xf numFmtId="49" fontId="0" fillId="5" borderId="3" xfId="0" applyNumberFormat="1" applyFill="1" applyBorder="1" applyAlignment="1">
      <alignment horizontal="center"/>
    </xf>
    <xf numFmtId="0" fontId="1" fillId="4" borderId="0" xfId="0" applyFont="1" applyFill="1" applyAlignment="1">
      <alignment vertical="center"/>
    </xf>
    <xf numFmtId="49" fontId="3" fillId="4" borderId="0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/>
    </xf>
    <xf numFmtId="0" fontId="15" fillId="4" borderId="0" xfId="0" applyFont="1" applyFill="1" applyAlignment="1">
      <alignment horizontal="left" vertical="center"/>
    </xf>
    <xf numFmtId="9" fontId="0" fillId="5" borderId="3" xfId="0" applyNumberFormat="1" applyFill="1" applyBorder="1" applyAlignment="1">
      <alignment horizontal="center"/>
    </xf>
    <xf numFmtId="0" fontId="0" fillId="2" borderId="3" xfId="0" applyFill="1" applyBorder="1" applyAlignment="1" applyProtection="1">
      <alignment horizontal="center"/>
      <protection locked="0"/>
    </xf>
    <xf numFmtId="9" fontId="0" fillId="2" borderId="3" xfId="0" applyNumberFormat="1" applyFill="1" applyBorder="1" applyAlignment="1" applyProtection="1">
      <alignment horizontal="center"/>
      <protection locked="0"/>
    </xf>
    <xf numFmtId="9" fontId="0" fillId="2" borderId="21" xfId="0" applyNumberFormat="1" applyFill="1" applyBorder="1" applyAlignment="1" applyProtection="1">
      <alignment horizontal="center"/>
      <protection locked="0"/>
    </xf>
    <xf numFmtId="0" fontId="0" fillId="2" borderId="23" xfId="0" applyFill="1" applyBorder="1" applyAlignment="1" applyProtection="1">
      <alignment horizontal="center"/>
      <protection locked="0"/>
    </xf>
    <xf numFmtId="9" fontId="0" fillId="2" borderId="23" xfId="0" applyNumberFormat="1" applyFill="1" applyBorder="1" applyAlignment="1" applyProtection="1">
      <alignment horizontal="center"/>
      <protection locked="0"/>
    </xf>
    <xf numFmtId="9" fontId="0" fillId="2" borderId="25" xfId="0" applyNumberFormat="1" applyFill="1" applyBorder="1" applyAlignment="1" applyProtection="1">
      <alignment horizontal="center"/>
      <protection locked="0"/>
    </xf>
    <xf numFmtId="164" fontId="14" fillId="4" borderId="0" xfId="0" applyNumberFormat="1" applyFont="1" applyFill="1" applyBorder="1" applyAlignment="1">
      <alignment horizontal="center"/>
    </xf>
    <xf numFmtId="165" fontId="14" fillId="4" borderId="0" xfId="0" applyNumberFormat="1" applyFont="1" applyFill="1" applyBorder="1" applyAlignment="1">
      <alignment horizontal="center"/>
    </xf>
    <xf numFmtId="0" fontId="17" fillId="4" borderId="0" xfId="0" applyNumberFormat="1" applyFont="1" applyFill="1" applyBorder="1" applyAlignment="1">
      <alignment horizontal="center"/>
    </xf>
    <xf numFmtId="164" fontId="17" fillId="4" borderId="9" xfId="0" applyNumberFormat="1" applyFont="1" applyFill="1" applyBorder="1" applyAlignment="1">
      <alignment horizontal="center" vertical="center" wrapText="1"/>
    </xf>
    <xf numFmtId="164" fontId="17" fillId="4" borderId="16" xfId="0" applyNumberFormat="1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10" fillId="4" borderId="0" xfId="0" applyFont="1" applyFill="1"/>
    <xf numFmtId="0" fontId="0" fillId="4" borderId="0" xfId="0" applyFill="1" applyBorder="1" applyAlignment="1">
      <alignment horizontal="center" vertical="center"/>
    </xf>
    <xf numFmtId="0" fontId="7" fillId="5" borderId="7" xfId="0" applyFont="1" applyFill="1" applyBorder="1" applyAlignment="1">
      <alignment horizontal="left"/>
    </xf>
    <xf numFmtId="0" fontId="7" fillId="5" borderId="1" xfId="0" applyFont="1" applyFill="1" applyBorder="1" applyAlignment="1">
      <alignment horizontal="centerContinuous"/>
    </xf>
    <xf numFmtId="0" fontId="10" fillId="5" borderId="17" xfId="0" applyFont="1" applyFill="1" applyBorder="1"/>
    <xf numFmtId="0" fontId="10" fillId="5" borderId="2" xfId="0" applyFont="1" applyFill="1" applyBorder="1"/>
    <xf numFmtId="0" fontId="7" fillId="5" borderId="3" xfId="0" applyFont="1" applyFill="1" applyBorder="1" applyAlignment="1">
      <alignment horizontal="center"/>
    </xf>
    <xf numFmtId="0" fontId="7" fillId="5" borderId="21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right"/>
    </xf>
    <xf numFmtId="0" fontId="10" fillId="5" borderId="21" xfId="0" applyNumberFormat="1" applyFont="1" applyFill="1" applyBorder="1"/>
    <xf numFmtId="0" fontId="7" fillId="5" borderId="22" xfId="0" applyFont="1" applyFill="1" applyBorder="1" applyAlignment="1" applyProtection="1">
      <alignment horizontal="right"/>
    </xf>
    <xf numFmtId="0" fontId="10" fillId="2" borderId="3" xfId="0" applyNumberFormat="1" applyFont="1" applyFill="1" applyBorder="1" applyAlignment="1" applyProtection="1">
      <alignment horizontal="center"/>
      <protection locked="0"/>
    </xf>
    <xf numFmtId="0" fontId="10" fillId="2" borderId="23" xfId="0" applyNumberFormat="1" applyFont="1" applyFill="1" applyBorder="1" applyAlignment="1" applyProtection="1">
      <alignment horizontal="center"/>
      <protection locked="0"/>
    </xf>
    <xf numFmtId="0" fontId="10" fillId="2" borderId="25" xfId="0" applyNumberFormat="1" applyFont="1" applyFill="1" applyBorder="1" applyAlignment="1" applyProtection="1">
      <alignment horizontal="center"/>
      <protection locked="0"/>
    </xf>
    <xf numFmtId="0" fontId="1" fillId="4" borderId="0" xfId="0" applyFont="1" applyFill="1" applyAlignment="1">
      <alignment horizontal="left" vertical="center"/>
    </xf>
    <xf numFmtId="49" fontId="19" fillId="4" borderId="0" xfId="0" applyNumberFormat="1" applyFont="1" applyFill="1" applyBorder="1" applyAlignment="1">
      <alignment horizontal="center"/>
    </xf>
    <xf numFmtId="165" fontId="19" fillId="4" borderId="0" xfId="0" applyNumberFormat="1" applyFont="1" applyFill="1" applyBorder="1" applyAlignment="1">
      <alignment horizontal="center"/>
    </xf>
    <xf numFmtId="0" fontId="19" fillId="4" borderId="0" xfId="0" applyNumberFormat="1" applyFont="1" applyFill="1" applyBorder="1" applyAlignment="1">
      <alignment horizontal="center"/>
    </xf>
    <xf numFmtId="0" fontId="28" fillId="4" borderId="0" xfId="0" applyFont="1" applyFill="1"/>
    <xf numFmtId="0" fontId="8" fillId="4" borderId="0" xfId="0" applyFont="1" applyFill="1" applyBorder="1"/>
    <xf numFmtId="0" fontId="8" fillId="4" borderId="3" xfId="0" applyFont="1" applyFill="1" applyBorder="1"/>
    <xf numFmtId="0" fontId="8" fillId="4" borderId="3" xfId="0" applyFont="1" applyFill="1" applyBorder="1" applyAlignment="1">
      <alignment horizontal="center"/>
    </xf>
    <xf numFmtId="0" fontId="3" fillId="4" borderId="3" xfId="0" applyFont="1" applyFill="1" applyBorder="1"/>
    <xf numFmtId="0" fontId="29" fillId="4" borderId="0" xfId="1" applyFont="1" applyFill="1" applyAlignment="1" applyProtection="1"/>
    <xf numFmtId="0" fontId="34" fillId="4" borderId="0" xfId="0" applyFont="1" applyFill="1"/>
    <xf numFmtId="0" fontId="8" fillId="5" borderId="12" xfId="0" applyFont="1" applyFill="1" applyBorder="1"/>
    <xf numFmtId="0" fontId="8" fillId="5" borderId="10" xfId="0" applyFont="1" applyFill="1" applyBorder="1"/>
    <xf numFmtId="0" fontId="8" fillId="5" borderId="13" xfId="0" applyFont="1" applyFill="1" applyBorder="1"/>
    <xf numFmtId="0" fontId="1" fillId="5" borderId="8" xfId="0" applyFont="1" applyFill="1" applyBorder="1"/>
    <xf numFmtId="0" fontId="8" fillId="5" borderId="5" xfId="0" applyFont="1" applyFill="1" applyBorder="1"/>
    <xf numFmtId="0" fontId="8" fillId="5" borderId="6" xfId="0" applyFont="1" applyFill="1" applyBorder="1" applyAlignment="1">
      <alignment horizontal="center"/>
    </xf>
    <xf numFmtId="0" fontId="32" fillId="4" borderId="26" xfId="0" applyFont="1" applyFill="1" applyBorder="1" applyAlignment="1">
      <alignment horizontal="center"/>
    </xf>
    <xf numFmtId="0" fontId="32" fillId="4" borderId="27" xfId="0" applyFont="1" applyFill="1" applyBorder="1" applyAlignment="1">
      <alignment horizontal="center"/>
    </xf>
    <xf numFmtId="0" fontId="17" fillId="4" borderId="16" xfId="0" applyFont="1" applyFill="1" applyBorder="1" applyAlignment="1">
      <alignment horizontal="center" vertical="center" wrapText="1"/>
    </xf>
    <xf numFmtId="0" fontId="36" fillId="5" borderId="0" xfId="0" applyFont="1" applyFill="1"/>
    <xf numFmtId="0" fontId="0" fillId="5" borderId="0" xfId="0" applyFill="1"/>
    <xf numFmtId="0" fontId="30" fillId="4" borderId="0" xfId="0" applyFont="1" applyFill="1"/>
    <xf numFmtId="0" fontId="37" fillId="5" borderId="0" xfId="0" applyFont="1" applyFill="1"/>
    <xf numFmtId="0" fontId="1" fillId="4" borderId="0" xfId="0" applyFont="1" applyFill="1" applyAlignment="1">
      <alignment horizontal="center"/>
    </xf>
    <xf numFmtId="0" fontId="4" fillId="6" borderId="12" xfId="0" applyFont="1" applyFill="1" applyBorder="1" applyAlignment="1">
      <alignment horizontal="left"/>
    </xf>
    <xf numFmtId="0" fontId="4" fillId="6" borderId="10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164" fontId="4" fillId="6" borderId="8" xfId="0" applyNumberFormat="1" applyFont="1" applyFill="1" applyBorder="1" applyAlignment="1">
      <alignment horizontal="left"/>
    </xf>
    <xf numFmtId="164" fontId="4" fillId="6" borderId="5" xfId="0" applyNumberFormat="1" applyFont="1" applyFill="1" applyBorder="1" applyAlignment="1">
      <alignment horizontal="center"/>
    </xf>
    <xf numFmtId="164" fontId="4" fillId="6" borderId="6" xfId="0" applyNumberFormat="1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10" fillId="5" borderId="0" xfId="0" applyFont="1" applyFill="1"/>
    <xf numFmtId="164" fontId="17" fillId="4" borderId="12" xfId="0" applyNumberFormat="1" applyFont="1" applyFill="1" applyBorder="1" applyAlignment="1">
      <alignment horizontal="center"/>
    </xf>
    <xf numFmtId="164" fontId="17" fillId="4" borderId="11" xfId="0" applyNumberFormat="1" applyFont="1" applyFill="1" applyBorder="1" applyAlignment="1">
      <alignment horizontal="center"/>
    </xf>
    <xf numFmtId="164" fontId="17" fillId="4" borderId="8" xfId="0" applyNumberFormat="1" applyFont="1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4" fillId="6" borderId="3" xfId="0" applyNumberFormat="1" applyFont="1" applyFill="1" applyBorder="1"/>
    <xf numFmtId="0" fontId="4" fillId="6" borderId="3" xfId="0" applyNumberFormat="1" applyFont="1" applyFill="1" applyBorder="1" applyAlignment="1">
      <alignment horizontal="center"/>
    </xf>
    <xf numFmtId="0" fontId="34" fillId="4" borderId="24" xfId="0" applyFont="1" applyFill="1" applyBorder="1" applyAlignment="1">
      <alignment horizontal="center"/>
    </xf>
    <xf numFmtId="0" fontId="34" fillId="4" borderId="9" xfId="0" applyFont="1" applyFill="1" applyBorder="1" applyAlignment="1">
      <alignment horizontal="center"/>
    </xf>
    <xf numFmtId="0" fontId="34" fillId="4" borderId="16" xfId="0" applyFont="1" applyFill="1" applyBorder="1" applyAlignment="1">
      <alignment horizontal="center"/>
    </xf>
    <xf numFmtId="0" fontId="3" fillId="4" borderId="0" xfId="0" quotePrefix="1" applyFont="1" applyFill="1"/>
    <xf numFmtId="0" fontId="26" fillId="4" borderId="0" xfId="1" applyFill="1" applyAlignment="1" applyProtection="1"/>
    <xf numFmtId="0" fontId="27" fillId="4" borderId="0" xfId="0" applyFont="1" applyFill="1" applyAlignment="1">
      <alignment horizontal="center"/>
    </xf>
    <xf numFmtId="0" fontId="38" fillId="4" borderId="0" xfId="0" applyFont="1" applyFill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5" fillId="4" borderId="17" xfId="0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5" fillId="4" borderId="20" xfId="0" applyFont="1" applyFill="1" applyBorder="1" applyAlignment="1">
      <alignment horizontal="center"/>
    </xf>
    <xf numFmtId="0" fontId="22" fillId="4" borderId="7" xfId="0" applyFont="1" applyFill="1" applyBorder="1" applyAlignment="1">
      <alignment horizontal="center"/>
    </xf>
    <xf numFmtId="0" fontId="22" fillId="4" borderId="1" xfId="0" applyFont="1" applyFill="1" applyBorder="1" applyAlignment="1">
      <alignment horizontal="center"/>
    </xf>
    <xf numFmtId="0" fontId="22" fillId="4" borderId="17" xfId="0" applyFont="1" applyFill="1" applyBorder="1" applyAlignment="1">
      <alignment horizontal="center"/>
    </xf>
    <xf numFmtId="0" fontId="22" fillId="4" borderId="2" xfId="0" applyFont="1" applyFill="1" applyBorder="1" applyAlignment="1">
      <alignment horizontal="center"/>
    </xf>
    <xf numFmtId="0" fontId="22" fillId="4" borderId="0" xfId="0" applyFont="1" applyFill="1" applyBorder="1" applyAlignment="1">
      <alignment horizontal="center"/>
    </xf>
    <xf numFmtId="0" fontId="22" fillId="4" borderId="18" xfId="0" applyFont="1" applyFill="1" applyBorder="1" applyAlignment="1">
      <alignment horizontal="center"/>
    </xf>
    <xf numFmtId="0" fontId="22" fillId="4" borderId="19" xfId="0" applyFont="1" applyFill="1" applyBorder="1" applyAlignment="1">
      <alignment horizontal="center"/>
    </xf>
    <xf numFmtId="0" fontId="22" fillId="4" borderId="15" xfId="0" applyFont="1" applyFill="1" applyBorder="1" applyAlignment="1">
      <alignment horizontal="center"/>
    </xf>
    <xf numFmtId="0" fontId="22" fillId="4" borderId="20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FF"/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Graphique des effets moyens</a:t>
            </a:r>
          </a:p>
        </c:rich>
      </c:tx>
      <c:layout>
        <c:manualLayout>
          <c:xMode val="edge"/>
          <c:yMode val="edge"/>
          <c:x val="0.32968590109546997"/>
          <c:y val="3.39703167400685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543112009449074"/>
          <c:y val="0.14265862083266681"/>
          <c:w val="0.65663573379146933"/>
          <c:h val="0.60379866455745046"/>
        </c:manualLayout>
      </c:layout>
      <c:lineChart>
        <c:grouping val="standard"/>
        <c:ser>
          <c:idx val="0"/>
          <c:order val="0"/>
          <c:tx>
            <c:strRef>
              <c:f>'2n 3n'!$K$12</c:f>
              <c:strCache>
                <c:ptCount val="1"/>
                <c:pt idx="0">
                  <c:v>Facteurs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'2n 3n'!$L$10:$Q$11</c:f>
              <c:multiLvlStrCache>
                <c:ptCount val="6"/>
                <c:lvl>
                  <c:pt idx="0">
                    <c:v>Colonne</c:v>
                  </c:pt>
                  <c:pt idx="1">
                    <c:v>Colonne</c:v>
                  </c:pt>
                  <c:pt idx="3">
                    <c:v>Elution</c:v>
                  </c:pt>
                  <c:pt idx="4">
                    <c:v>Elution</c:v>
                  </c:pt>
                  <c:pt idx="5">
                    <c:v>Elution</c:v>
                  </c:pt>
                </c:lvl>
                <c:lvl>
                  <c:pt idx="0">
                    <c:v>Pol.</c:v>
                  </c:pt>
                  <c:pt idx="1">
                    <c:v>Npol.</c:v>
                  </c:pt>
                  <c:pt idx="2">
                    <c:v> </c:v>
                  </c:pt>
                  <c:pt idx="3">
                    <c:v>Iso.</c:v>
                  </c:pt>
                  <c:pt idx="4">
                    <c:v>Lin.</c:v>
                  </c:pt>
                  <c:pt idx="5">
                    <c:v>Nlin.</c:v>
                  </c:pt>
                </c:lvl>
              </c:multiLvlStrCache>
            </c:multiLvlStrRef>
          </c:cat>
          <c:val>
            <c:numRef>
              <c:f>'2n 3n'!$L$12:$Q$12</c:f>
              <c:numCache>
                <c:formatCode>0.000</c:formatCode>
                <c:ptCount val="6"/>
                <c:pt idx="0">
                  <c:v>588.33333333333337</c:v>
                </c:pt>
                <c:pt idx="1">
                  <c:v>621.33333333333337</c:v>
                </c:pt>
                <c:pt idx="3">
                  <c:v>526.5</c:v>
                </c:pt>
                <c:pt idx="4">
                  <c:v>628.5</c:v>
                </c:pt>
                <c:pt idx="5">
                  <c:v>659.5</c:v>
                </c:pt>
              </c:numCache>
            </c:numRef>
          </c:val>
        </c:ser>
        <c:ser>
          <c:idx val="1"/>
          <c:order val="1"/>
          <c:tx>
            <c:strRef>
              <c:f>'2n 3n'!$K$13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ysDash"/>
            </a:ln>
          </c:spPr>
          <c:marker>
            <c:symbol val="none"/>
          </c:marker>
          <c:cat>
            <c:multiLvlStrRef>
              <c:f>'2n 3n'!$L$10:$Q$11</c:f>
              <c:multiLvlStrCache>
                <c:ptCount val="6"/>
                <c:lvl>
                  <c:pt idx="0">
                    <c:v>Colonne</c:v>
                  </c:pt>
                  <c:pt idx="1">
                    <c:v>Colonne</c:v>
                  </c:pt>
                  <c:pt idx="3">
                    <c:v>Elution</c:v>
                  </c:pt>
                  <c:pt idx="4">
                    <c:v>Elution</c:v>
                  </c:pt>
                  <c:pt idx="5">
                    <c:v>Elution</c:v>
                  </c:pt>
                </c:lvl>
                <c:lvl>
                  <c:pt idx="0">
                    <c:v>Pol.</c:v>
                  </c:pt>
                  <c:pt idx="1">
                    <c:v>Npol.</c:v>
                  </c:pt>
                  <c:pt idx="2">
                    <c:v> </c:v>
                  </c:pt>
                  <c:pt idx="3">
                    <c:v>Iso.</c:v>
                  </c:pt>
                  <c:pt idx="4">
                    <c:v>Lin.</c:v>
                  </c:pt>
                  <c:pt idx="5">
                    <c:v>Nlin.</c:v>
                  </c:pt>
                </c:lvl>
              </c:multiLvlStrCache>
            </c:multiLvlStrRef>
          </c:cat>
          <c:val>
            <c:numRef>
              <c:f>'2n 3n'!$L$13:$Q$13</c:f>
              <c:numCache>
                <c:formatCode>0.000</c:formatCode>
                <c:ptCount val="6"/>
                <c:pt idx="0">
                  <c:v>604.83333333333337</c:v>
                </c:pt>
                <c:pt idx="1">
                  <c:v>604.83333333333337</c:v>
                </c:pt>
                <c:pt idx="2">
                  <c:v>604.83333333333337</c:v>
                </c:pt>
                <c:pt idx="3">
                  <c:v>604.83333333333337</c:v>
                </c:pt>
                <c:pt idx="4">
                  <c:v>604.83333333333337</c:v>
                </c:pt>
                <c:pt idx="5">
                  <c:v>604.83333333333337</c:v>
                </c:pt>
              </c:numCache>
            </c:numRef>
          </c:val>
        </c:ser>
        <c:marker val="1"/>
        <c:axId val="58234752"/>
        <c:axId val="58311040"/>
      </c:lineChart>
      <c:catAx>
        <c:axId val="5823475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311040"/>
        <c:crosses val="autoZero"/>
        <c:lblAlgn val="ctr"/>
        <c:lblOffset val="100"/>
        <c:tickLblSkip val="1"/>
        <c:tickMarkSkip val="1"/>
      </c:catAx>
      <c:valAx>
        <c:axId val="5831104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</a:t>
                </a:r>
              </a:p>
            </c:rich>
          </c:tx>
          <c:layout>
            <c:manualLayout>
              <c:xMode val="edge"/>
              <c:yMode val="edge"/>
              <c:x val="2.4623803009576006E-2"/>
              <c:y val="0.36942813292406396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2347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437882166234009"/>
          <c:y val="0.19745290048489736"/>
          <c:w val="0.18194290351189094"/>
          <c:h val="0.1125269696160861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BC</a:t>
            </a:r>
          </a:p>
        </c:rich>
      </c:tx>
      <c:layout>
        <c:manualLayout>
          <c:xMode val="edge"/>
          <c:yMode val="edge"/>
          <c:x val="0.41783510613804858"/>
          <c:y val="3.82513661202186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1719916376237276E-2"/>
          <c:y val="0.1666677423518782"/>
          <c:w val="0.65477829190814041"/>
          <c:h val="0.61384550291869511"/>
        </c:manualLayout>
      </c:layout>
      <c:lineChart>
        <c:grouping val="standard"/>
        <c:ser>
          <c:idx val="0"/>
          <c:order val="0"/>
          <c:tx>
            <c:strRef>
              <c:f>'2n 3n 3n'!$N$42:$N$43</c:f>
              <c:strCache>
                <c:ptCount val="1"/>
                <c:pt idx="0">
                  <c:v>Souche Souche1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'2n 3n 3n'!$L$44:$M$46</c:f>
              <c:multiLvlStrCache>
                <c:ptCount val="3"/>
                <c:lvl>
                  <c:pt idx="0">
                    <c:v>Vaccin</c:v>
                  </c:pt>
                  <c:pt idx="1">
                    <c:v>Vaccin</c:v>
                  </c:pt>
                  <c:pt idx="2">
                    <c:v>Vaccin</c:v>
                  </c:pt>
                </c:lvl>
                <c:lvl>
                  <c:pt idx="0">
                    <c:v>VaccinA</c:v>
                  </c:pt>
                  <c:pt idx="1">
                    <c:v>VaccinB</c:v>
                  </c:pt>
                  <c:pt idx="2">
                    <c:v>Témoin</c:v>
                  </c:pt>
                </c:lvl>
              </c:multiLvlStrCache>
            </c:multiLvlStrRef>
          </c:cat>
          <c:val>
            <c:numRef>
              <c:f>'2n 3n 3n'!$N$44:$N$46</c:f>
              <c:numCache>
                <c:formatCode>General</c:formatCode>
                <c:ptCount val="3"/>
                <c:pt idx="0">
                  <c:v>7.8</c:v>
                </c:pt>
                <c:pt idx="1">
                  <c:v>11.05</c:v>
                </c:pt>
                <c:pt idx="2">
                  <c:v>20.3</c:v>
                </c:pt>
              </c:numCache>
            </c:numRef>
          </c:val>
        </c:ser>
        <c:ser>
          <c:idx val="1"/>
          <c:order val="1"/>
          <c:tx>
            <c:strRef>
              <c:f>'2n 3n 3n'!$O$42:$O$43</c:f>
              <c:strCache>
                <c:ptCount val="1"/>
                <c:pt idx="0">
                  <c:v>Souche Souche2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'2n 3n 3n'!$L$44:$M$46</c:f>
              <c:multiLvlStrCache>
                <c:ptCount val="3"/>
                <c:lvl>
                  <c:pt idx="0">
                    <c:v>Vaccin</c:v>
                  </c:pt>
                  <c:pt idx="1">
                    <c:v>Vaccin</c:v>
                  </c:pt>
                  <c:pt idx="2">
                    <c:v>Vaccin</c:v>
                  </c:pt>
                </c:lvl>
                <c:lvl>
                  <c:pt idx="0">
                    <c:v>VaccinA</c:v>
                  </c:pt>
                  <c:pt idx="1">
                    <c:v>VaccinB</c:v>
                  </c:pt>
                  <c:pt idx="2">
                    <c:v>Témoin</c:v>
                  </c:pt>
                </c:lvl>
              </c:multiLvlStrCache>
            </c:multiLvlStrRef>
          </c:cat>
          <c:val>
            <c:numRef>
              <c:f>'2n 3n 3n'!$O$44:$O$46</c:f>
              <c:numCache>
                <c:formatCode>General</c:formatCode>
                <c:ptCount val="3"/>
                <c:pt idx="0">
                  <c:v>11.4</c:v>
                </c:pt>
                <c:pt idx="1">
                  <c:v>22.35</c:v>
                </c:pt>
                <c:pt idx="2">
                  <c:v>27.549999999999997</c:v>
                </c:pt>
              </c:numCache>
            </c:numRef>
          </c:val>
        </c:ser>
        <c:ser>
          <c:idx val="2"/>
          <c:order val="2"/>
          <c:tx>
            <c:strRef>
              <c:f>'2n 3n 3n'!$P$42:$P$43</c:f>
              <c:strCache>
                <c:ptCount val="1"/>
                <c:pt idx="0">
                  <c:v>Souche Souche3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3333CC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'2n 3n 3n'!$L$44:$M$46</c:f>
              <c:multiLvlStrCache>
                <c:ptCount val="3"/>
                <c:lvl>
                  <c:pt idx="0">
                    <c:v>Vaccin</c:v>
                  </c:pt>
                  <c:pt idx="1">
                    <c:v>Vaccin</c:v>
                  </c:pt>
                  <c:pt idx="2">
                    <c:v>Vaccin</c:v>
                  </c:pt>
                </c:lvl>
                <c:lvl>
                  <c:pt idx="0">
                    <c:v>VaccinA</c:v>
                  </c:pt>
                  <c:pt idx="1">
                    <c:v>VaccinB</c:v>
                  </c:pt>
                  <c:pt idx="2">
                    <c:v>Témoin</c:v>
                  </c:pt>
                </c:lvl>
              </c:multiLvlStrCache>
            </c:multiLvlStrRef>
          </c:cat>
          <c:val>
            <c:numRef>
              <c:f>'2n 3n 3n'!$P$44:$P$46</c:f>
              <c:numCache>
                <c:formatCode>General</c:formatCode>
                <c:ptCount val="3"/>
                <c:pt idx="0">
                  <c:v>28.5</c:v>
                </c:pt>
                <c:pt idx="1">
                  <c:v>45.45</c:v>
                </c:pt>
                <c:pt idx="2">
                  <c:v>52.45</c:v>
                </c:pt>
              </c:numCache>
            </c:numRef>
          </c:val>
        </c:ser>
        <c:marker val="1"/>
        <c:axId val="57644160"/>
        <c:axId val="57646080"/>
      </c:lineChart>
      <c:catAx>
        <c:axId val="5764416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646080"/>
        <c:crosses val="autoZero"/>
        <c:lblAlgn val="ctr"/>
        <c:lblOffset val="100"/>
        <c:tickLblSkip val="1"/>
        <c:tickMarkSkip val="1"/>
      </c:catAx>
      <c:valAx>
        <c:axId val="57646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2930001074427182E-2"/>
              <c:y val="0.363389770950763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6441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688040091479959"/>
          <c:y val="0.23224151284368139"/>
          <c:w val="0.21273925189175968"/>
          <c:h val="0.4808764683103141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Graphique des effets moyens</a:t>
            </a:r>
          </a:p>
        </c:rich>
      </c:tx>
      <c:layout>
        <c:manualLayout>
          <c:xMode val="edge"/>
          <c:yMode val="edge"/>
          <c:x val="0.37151732254966585"/>
          <c:y val="3.72340792927200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5975292650846381E-2"/>
          <c:y val="0.14205091037145778"/>
          <c:w val="0.74716249332486662"/>
          <c:h val="0.58489156687352162"/>
        </c:manualLayout>
      </c:layout>
      <c:lineChart>
        <c:grouping val="standard"/>
        <c:ser>
          <c:idx val="0"/>
          <c:order val="0"/>
          <c:tx>
            <c:strRef>
              <c:f>'3n 3n 3n'!$L$12</c:f>
              <c:strCache>
                <c:ptCount val="1"/>
                <c:pt idx="0">
                  <c:v>Facteurs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'3n 3n 3n'!$M$10:$W$11</c:f>
              <c:multiLvlStrCache>
                <c:ptCount val="11"/>
                <c:lvl>
                  <c:pt idx="0">
                    <c:v>Temp.</c:v>
                  </c:pt>
                  <c:pt idx="1">
                    <c:v>Temp.</c:v>
                  </c:pt>
                  <c:pt idx="2">
                    <c:v>Temp.</c:v>
                  </c:pt>
                  <c:pt idx="4">
                    <c:v>Purge</c:v>
                  </c:pt>
                  <c:pt idx="5">
                    <c:v>Purge</c:v>
                  </c:pt>
                  <c:pt idx="6">
                    <c:v>Purge</c:v>
                  </c:pt>
                  <c:pt idx="8">
                    <c:v>Séchage</c:v>
                  </c:pt>
                  <c:pt idx="9">
                    <c:v>Séchage</c:v>
                  </c:pt>
                  <c:pt idx="10">
                    <c:v>Séchage</c:v>
                  </c:pt>
                </c:lvl>
                <c:lvl>
                  <c:pt idx="0">
                    <c:v>5°C</c:v>
                  </c:pt>
                  <c:pt idx="1">
                    <c:v>30°C</c:v>
                  </c:pt>
                  <c:pt idx="2">
                    <c:v>50°C</c:v>
                  </c:pt>
                  <c:pt idx="3">
                    <c:v> </c:v>
                  </c:pt>
                  <c:pt idx="4">
                    <c:v>10 mn</c:v>
                  </c:pt>
                  <c:pt idx="5">
                    <c:v>25 mn</c:v>
                  </c:pt>
                  <c:pt idx="6">
                    <c:v>40 mn</c:v>
                  </c:pt>
                  <c:pt idx="7">
                    <c:v> </c:v>
                  </c:pt>
                  <c:pt idx="8">
                    <c:v>5 mn</c:v>
                  </c:pt>
                  <c:pt idx="9">
                    <c:v>15 mn</c:v>
                  </c:pt>
                  <c:pt idx="10">
                    <c:v>30 mn</c:v>
                  </c:pt>
                </c:lvl>
              </c:multiLvlStrCache>
            </c:multiLvlStrRef>
          </c:cat>
          <c:val>
            <c:numRef>
              <c:f>'3n 3n 3n'!$M$12:$W$12</c:f>
              <c:numCache>
                <c:formatCode>0.000</c:formatCode>
                <c:ptCount val="11"/>
                <c:pt idx="0">
                  <c:v>62.833333333333336</c:v>
                </c:pt>
                <c:pt idx="1">
                  <c:v>70.133333333333326</c:v>
                </c:pt>
                <c:pt idx="2">
                  <c:v>72.444444444444443</c:v>
                </c:pt>
                <c:pt idx="4">
                  <c:v>67.87777777777778</c:v>
                </c:pt>
                <c:pt idx="5">
                  <c:v>74</c:v>
                </c:pt>
                <c:pt idx="6">
                  <c:v>63.533333333333331</c:v>
                </c:pt>
                <c:pt idx="8">
                  <c:v>65.933333333333337</c:v>
                </c:pt>
                <c:pt idx="9">
                  <c:v>68.488888888888894</c:v>
                </c:pt>
                <c:pt idx="10">
                  <c:v>70.98888888888888</c:v>
                </c:pt>
              </c:numCache>
            </c:numRef>
          </c:val>
        </c:ser>
        <c:ser>
          <c:idx val="1"/>
          <c:order val="1"/>
          <c:tx>
            <c:strRef>
              <c:f>'3n 3n 3n'!$L$13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multiLvlStrRef>
              <c:f>'3n 3n 3n'!$M$10:$W$11</c:f>
              <c:multiLvlStrCache>
                <c:ptCount val="11"/>
                <c:lvl>
                  <c:pt idx="0">
                    <c:v>Temp.</c:v>
                  </c:pt>
                  <c:pt idx="1">
                    <c:v>Temp.</c:v>
                  </c:pt>
                  <c:pt idx="2">
                    <c:v>Temp.</c:v>
                  </c:pt>
                  <c:pt idx="4">
                    <c:v>Purge</c:v>
                  </c:pt>
                  <c:pt idx="5">
                    <c:v>Purge</c:v>
                  </c:pt>
                  <c:pt idx="6">
                    <c:v>Purge</c:v>
                  </c:pt>
                  <c:pt idx="8">
                    <c:v>Séchage</c:v>
                  </c:pt>
                  <c:pt idx="9">
                    <c:v>Séchage</c:v>
                  </c:pt>
                  <c:pt idx="10">
                    <c:v>Séchage</c:v>
                  </c:pt>
                </c:lvl>
                <c:lvl>
                  <c:pt idx="0">
                    <c:v>5°C</c:v>
                  </c:pt>
                  <c:pt idx="1">
                    <c:v>30°C</c:v>
                  </c:pt>
                  <c:pt idx="2">
                    <c:v>50°C</c:v>
                  </c:pt>
                  <c:pt idx="3">
                    <c:v> </c:v>
                  </c:pt>
                  <c:pt idx="4">
                    <c:v>10 mn</c:v>
                  </c:pt>
                  <c:pt idx="5">
                    <c:v>25 mn</c:v>
                  </c:pt>
                  <c:pt idx="6">
                    <c:v>40 mn</c:v>
                  </c:pt>
                  <c:pt idx="7">
                    <c:v> </c:v>
                  </c:pt>
                  <c:pt idx="8">
                    <c:v>5 mn</c:v>
                  </c:pt>
                  <c:pt idx="9">
                    <c:v>15 mn</c:v>
                  </c:pt>
                  <c:pt idx="10">
                    <c:v>30 mn</c:v>
                  </c:pt>
                </c:lvl>
              </c:multiLvlStrCache>
            </c:multiLvlStrRef>
          </c:cat>
          <c:val>
            <c:numRef>
              <c:f>'3n 3n 3n'!$M$13:$W$13</c:f>
              <c:numCache>
                <c:formatCode>0.000</c:formatCode>
                <c:ptCount val="11"/>
                <c:pt idx="0">
                  <c:v>68.470370370370375</c:v>
                </c:pt>
                <c:pt idx="1">
                  <c:v>68.470370370370375</c:v>
                </c:pt>
                <c:pt idx="2">
                  <c:v>68.470370370370375</c:v>
                </c:pt>
                <c:pt idx="3">
                  <c:v>68.470370370370375</c:v>
                </c:pt>
                <c:pt idx="4">
                  <c:v>68.470370370370375</c:v>
                </c:pt>
                <c:pt idx="5">
                  <c:v>68.470370370370375</c:v>
                </c:pt>
                <c:pt idx="6">
                  <c:v>68.470370370370375</c:v>
                </c:pt>
                <c:pt idx="7">
                  <c:v>68.470370370370375</c:v>
                </c:pt>
                <c:pt idx="8">
                  <c:v>68.470370370370375</c:v>
                </c:pt>
                <c:pt idx="9">
                  <c:v>68.470370370370375</c:v>
                </c:pt>
                <c:pt idx="10">
                  <c:v>68.470370370370375</c:v>
                </c:pt>
              </c:numCache>
            </c:numRef>
          </c:val>
        </c:ser>
        <c:marker val="1"/>
        <c:axId val="57758848"/>
        <c:axId val="57760384"/>
      </c:lineChart>
      <c:catAx>
        <c:axId val="5775884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760384"/>
        <c:crosses val="autoZero"/>
        <c:lblAlgn val="ctr"/>
        <c:lblOffset val="100"/>
        <c:tickLblSkip val="1"/>
        <c:tickMarkSkip val="1"/>
      </c:catAx>
      <c:valAx>
        <c:axId val="577603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</a:t>
                </a:r>
              </a:p>
            </c:rich>
          </c:tx>
          <c:layout>
            <c:manualLayout>
              <c:xMode val="edge"/>
              <c:yMode val="edge"/>
              <c:x val="1.1325414630066446E-2"/>
              <c:y val="0.34840488412685428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758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96497302658046"/>
          <c:y val="0.35904303080535976"/>
          <c:w val="0.12899906241361525"/>
          <c:h val="0.1755321867661286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A</a:t>
            </a:r>
          </a:p>
        </c:rich>
      </c:tx>
      <c:layout>
        <c:manualLayout>
          <c:xMode val="edge"/>
          <c:yMode val="edge"/>
          <c:x val="0.35087734647204188"/>
          <c:y val="3.521126760563389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75441502033507"/>
          <c:y val="0.12597806227276109"/>
          <c:w val="0.70409376830162851"/>
          <c:h val="0.62303217587500059"/>
        </c:manualLayout>
      </c:layout>
      <c:lineChart>
        <c:grouping val="standard"/>
        <c:ser>
          <c:idx val="0"/>
          <c:order val="0"/>
          <c:tx>
            <c:strRef>
              <c:f>'3n 3n 3n'!$N$22:$N$23</c:f>
              <c:strCache>
                <c:ptCount val="1"/>
                <c:pt idx="0">
                  <c:v>Temp. 5°C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'3n 3n 3n'!$L$24:$M$30</c:f>
              <c:multiLvlStrCache>
                <c:ptCount val="7"/>
                <c:lvl>
                  <c:pt idx="0">
                    <c:v>Purge</c:v>
                  </c:pt>
                  <c:pt idx="1">
                    <c:v>Purge</c:v>
                  </c:pt>
                  <c:pt idx="2">
                    <c:v>Purge</c:v>
                  </c:pt>
                  <c:pt idx="4">
                    <c:v>Séchage</c:v>
                  </c:pt>
                  <c:pt idx="5">
                    <c:v>Séchage</c:v>
                  </c:pt>
                  <c:pt idx="6">
                    <c:v>Séchage</c:v>
                  </c:pt>
                </c:lvl>
                <c:lvl>
                  <c:pt idx="0">
                    <c:v>25 mn</c:v>
                  </c:pt>
                  <c:pt idx="1">
                    <c:v>10 mn</c:v>
                  </c:pt>
                  <c:pt idx="2">
                    <c:v>40 mn</c:v>
                  </c:pt>
                  <c:pt idx="3">
                    <c:v> </c:v>
                  </c:pt>
                  <c:pt idx="4">
                    <c:v>5 mn</c:v>
                  </c:pt>
                  <c:pt idx="5">
                    <c:v>15 mn</c:v>
                  </c:pt>
                  <c:pt idx="6">
                    <c:v>30 mn</c:v>
                  </c:pt>
                </c:lvl>
              </c:multiLvlStrCache>
            </c:multiLvlStrRef>
          </c:cat>
          <c:val>
            <c:numRef>
              <c:f>'3n 3n 3n'!$N$24:$N$30</c:f>
              <c:numCache>
                <c:formatCode>0.00</c:formatCode>
                <c:ptCount val="7"/>
                <c:pt idx="0">
                  <c:v>67.666666666666671</c:v>
                </c:pt>
                <c:pt idx="1">
                  <c:v>75.666666666666671</c:v>
                </c:pt>
                <c:pt idx="2">
                  <c:v>45.166666666666664</c:v>
                </c:pt>
                <c:pt idx="4" formatCode="General">
                  <c:v>57.333333333333336</c:v>
                </c:pt>
                <c:pt idx="5" formatCode="General">
                  <c:v>95.3</c:v>
                </c:pt>
                <c:pt idx="6">
                  <c:v>67.63333333333334</c:v>
                </c:pt>
              </c:numCache>
            </c:numRef>
          </c:val>
        </c:ser>
        <c:ser>
          <c:idx val="1"/>
          <c:order val="1"/>
          <c:tx>
            <c:strRef>
              <c:f>'3n 3n 3n'!$O$22:$O$23</c:f>
              <c:strCache>
                <c:ptCount val="1"/>
                <c:pt idx="0">
                  <c:v>Temp. 30°C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'3n 3n 3n'!$L$24:$M$30</c:f>
              <c:multiLvlStrCache>
                <c:ptCount val="7"/>
                <c:lvl>
                  <c:pt idx="0">
                    <c:v>Purge</c:v>
                  </c:pt>
                  <c:pt idx="1">
                    <c:v>Purge</c:v>
                  </c:pt>
                  <c:pt idx="2">
                    <c:v>Purge</c:v>
                  </c:pt>
                  <c:pt idx="4">
                    <c:v>Séchage</c:v>
                  </c:pt>
                  <c:pt idx="5">
                    <c:v>Séchage</c:v>
                  </c:pt>
                  <c:pt idx="6">
                    <c:v>Séchage</c:v>
                  </c:pt>
                </c:lvl>
                <c:lvl>
                  <c:pt idx="0">
                    <c:v>25 mn</c:v>
                  </c:pt>
                  <c:pt idx="1">
                    <c:v>10 mn</c:v>
                  </c:pt>
                  <c:pt idx="2">
                    <c:v>40 mn</c:v>
                  </c:pt>
                  <c:pt idx="3">
                    <c:v> </c:v>
                  </c:pt>
                  <c:pt idx="4">
                    <c:v>5 mn</c:v>
                  </c:pt>
                  <c:pt idx="5">
                    <c:v>15 mn</c:v>
                  </c:pt>
                  <c:pt idx="6">
                    <c:v>30 mn</c:v>
                  </c:pt>
                </c:lvl>
              </c:multiLvlStrCache>
            </c:multiLvlStrRef>
          </c:cat>
          <c:val>
            <c:numRef>
              <c:f>'3n 3n 3n'!$O$24:$O$30</c:f>
              <c:numCache>
                <c:formatCode>0.00</c:formatCode>
                <c:ptCount val="7"/>
                <c:pt idx="0">
                  <c:v>65.13333333333334</c:v>
                </c:pt>
                <c:pt idx="1">
                  <c:v>74</c:v>
                </c:pt>
                <c:pt idx="2">
                  <c:v>71.266666666666666</c:v>
                </c:pt>
                <c:pt idx="4" formatCode="General">
                  <c:v>69.63333333333334</c:v>
                </c:pt>
                <c:pt idx="5" formatCode="General">
                  <c:v>70.100000000000009</c:v>
                </c:pt>
                <c:pt idx="6">
                  <c:v>70.666666666666671</c:v>
                </c:pt>
              </c:numCache>
            </c:numRef>
          </c:val>
        </c:ser>
        <c:ser>
          <c:idx val="2"/>
          <c:order val="2"/>
          <c:tx>
            <c:strRef>
              <c:f>'3n 3n 3n'!$P$22:$P$23</c:f>
              <c:strCache>
                <c:ptCount val="1"/>
                <c:pt idx="0">
                  <c:v>Temp. 50°C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3333CC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'3n 3n 3n'!$L$24:$M$30</c:f>
              <c:multiLvlStrCache>
                <c:ptCount val="7"/>
                <c:lvl>
                  <c:pt idx="0">
                    <c:v>Purge</c:v>
                  </c:pt>
                  <c:pt idx="1">
                    <c:v>Purge</c:v>
                  </c:pt>
                  <c:pt idx="2">
                    <c:v>Purge</c:v>
                  </c:pt>
                  <c:pt idx="4">
                    <c:v>Séchage</c:v>
                  </c:pt>
                  <c:pt idx="5">
                    <c:v>Séchage</c:v>
                  </c:pt>
                  <c:pt idx="6">
                    <c:v>Séchage</c:v>
                  </c:pt>
                </c:lvl>
                <c:lvl>
                  <c:pt idx="0">
                    <c:v>25 mn</c:v>
                  </c:pt>
                  <c:pt idx="1">
                    <c:v>10 mn</c:v>
                  </c:pt>
                  <c:pt idx="2">
                    <c:v>40 mn</c:v>
                  </c:pt>
                  <c:pt idx="3">
                    <c:v> </c:v>
                  </c:pt>
                  <c:pt idx="4">
                    <c:v>5 mn</c:v>
                  </c:pt>
                  <c:pt idx="5">
                    <c:v>15 mn</c:v>
                  </c:pt>
                  <c:pt idx="6">
                    <c:v>30 mn</c:v>
                  </c:pt>
                </c:lvl>
              </c:multiLvlStrCache>
            </c:multiLvlStrRef>
          </c:cat>
          <c:val>
            <c:numRef>
              <c:f>'3n 3n 3n'!$P$24:$P$30</c:f>
              <c:numCache>
                <c:formatCode>General</c:formatCode>
                <c:ptCount val="7"/>
                <c:pt idx="0">
                  <c:v>70.833333333333329</c:v>
                </c:pt>
                <c:pt idx="1">
                  <c:v>72.333333333333329</c:v>
                </c:pt>
                <c:pt idx="2">
                  <c:v>74.166666666666671</c:v>
                </c:pt>
                <c:pt idx="4">
                  <c:v>70.833333333333329</c:v>
                </c:pt>
                <c:pt idx="5">
                  <c:v>71.833333333333329</c:v>
                </c:pt>
                <c:pt idx="6" formatCode="0.00">
                  <c:v>74.666666666666671</c:v>
                </c:pt>
              </c:numCache>
            </c:numRef>
          </c:val>
        </c:ser>
        <c:marker val="1"/>
        <c:axId val="57798656"/>
        <c:axId val="57800576"/>
      </c:lineChart>
      <c:catAx>
        <c:axId val="5779865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800576"/>
        <c:crosses val="autoZero"/>
        <c:lblAlgn val="ctr"/>
        <c:lblOffset val="100"/>
        <c:tickLblSkip val="1"/>
        <c:tickMarkSkip val="1"/>
      </c:catAx>
      <c:valAx>
        <c:axId val="57800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3253797041215558E-2"/>
              <c:y val="0.3544617358178862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7986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988334791484396"/>
          <c:y val="0.21831078333518203"/>
          <c:w val="0.16608187134502927"/>
          <c:h val="0.453053491552992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BC</a:t>
            </a:r>
          </a:p>
        </c:rich>
      </c:tx>
      <c:layout>
        <c:manualLayout>
          <c:xMode val="edge"/>
          <c:yMode val="edge"/>
          <c:x val="0.42456151950471838"/>
          <c:y val="3.74331550802140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210550361656727E-2"/>
          <c:y val="0.14852049989475571"/>
          <c:w val="0.68187153973396952"/>
          <c:h val="0.63514173181418965"/>
        </c:manualLayout>
      </c:layout>
      <c:lineChart>
        <c:grouping val="standard"/>
        <c:ser>
          <c:idx val="0"/>
          <c:order val="0"/>
          <c:tx>
            <c:strRef>
              <c:f>'3n 3n 3n'!$N$42:$N$43</c:f>
              <c:strCache>
                <c:ptCount val="1"/>
                <c:pt idx="0">
                  <c:v>Purge 10 mn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'3n 3n 3n'!$L$44:$M$46</c:f>
              <c:multiLvlStrCache>
                <c:ptCount val="3"/>
                <c:lvl>
                  <c:pt idx="0">
                    <c:v>Séchage</c:v>
                  </c:pt>
                  <c:pt idx="1">
                    <c:v>Séchage</c:v>
                  </c:pt>
                  <c:pt idx="2">
                    <c:v>Séchage</c:v>
                  </c:pt>
                </c:lvl>
                <c:lvl>
                  <c:pt idx="0">
                    <c:v>5 mn</c:v>
                  </c:pt>
                  <c:pt idx="1">
                    <c:v>15 mn</c:v>
                  </c:pt>
                  <c:pt idx="2">
                    <c:v>30 mn</c:v>
                  </c:pt>
                </c:lvl>
              </c:multiLvlStrCache>
            </c:multiLvlStrRef>
          </c:cat>
          <c:val>
            <c:numRef>
              <c:f>'3n 3n 3n'!$N$44:$N$46</c:f>
              <c:numCache>
                <c:formatCode>0.00</c:formatCode>
                <c:ptCount val="3"/>
                <c:pt idx="0" formatCode="General">
                  <c:v>57.466666666666669</c:v>
                </c:pt>
                <c:pt idx="1">
                  <c:v>73.333333333333329</c:v>
                </c:pt>
                <c:pt idx="2" formatCode="General">
                  <c:v>72.833333333333329</c:v>
                </c:pt>
              </c:numCache>
            </c:numRef>
          </c:val>
        </c:ser>
        <c:ser>
          <c:idx val="1"/>
          <c:order val="1"/>
          <c:tx>
            <c:strRef>
              <c:f>'3n 3n 3n'!$O$42:$O$43</c:f>
              <c:strCache>
                <c:ptCount val="1"/>
                <c:pt idx="0">
                  <c:v>Purge 25 mn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'3n 3n 3n'!$L$44:$M$46</c:f>
              <c:multiLvlStrCache>
                <c:ptCount val="3"/>
                <c:lvl>
                  <c:pt idx="0">
                    <c:v>Séchage</c:v>
                  </c:pt>
                  <c:pt idx="1">
                    <c:v>Séchage</c:v>
                  </c:pt>
                  <c:pt idx="2">
                    <c:v>Séchage</c:v>
                  </c:pt>
                </c:lvl>
                <c:lvl>
                  <c:pt idx="0">
                    <c:v>5 mn</c:v>
                  </c:pt>
                  <c:pt idx="1">
                    <c:v>15 mn</c:v>
                  </c:pt>
                  <c:pt idx="2">
                    <c:v>30 mn</c:v>
                  </c:pt>
                </c:lvl>
              </c:multiLvlStrCache>
            </c:multiLvlStrRef>
          </c:cat>
          <c:val>
            <c:numRef>
              <c:f>'3n 3n 3n'!$O$44:$O$46</c:f>
              <c:numCache>
                <c:formatCode>0.00</c:formatCode>
                <c:ptCount val="3"/>
                <c:pt idx="0" formatCode="General">
                  <c:v>75.5</c:v>
                </c:pt>
                <c:pt idx="1">
                  <c:v>69.666666666666671</c:v>
                </c:pt>
                <c:pt idx="2" formatCode="General">
                  <c:v>76.833333333333329</c:v>
                </c:pt>
              </c:numCache>
            </c:numRef>
          </c:val>
        </c:ser>
        <c:ser>
          <c:idx val="2"/>
          <c:order val="2"/>
          <c:tx>
            <c:strRef>
              <c:f>'3n 3n 3n'!$P$42:$P$43</c:f>
              <c:strCache>
                <c:ptCount val="1"/>
                <c:pt idx="0">
                  <c:v>Purge 40 mn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3333CC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'3n 3n 3n'!$L$44:$M$46</c:f>
              <c:multiLvlStrCache>
                <c:ptCount val="3"/>
                <c:lvl>
                  <c:pt idx="0">
                    <c:v>Séchage</c:v>
                  </c:pt>
                  <c:pt idx="1">
                    <c:v>Séchage</c:v>
                  </c:pt>
                  <c:pt idx="2">
                    <c:v>Séchage</c:v>
                  </c:pt>
                </c:lvl>
                <c:lvl>
                  <c:pt idx="0">
                    <c:v>5 mn</c:v>
                  </c:pt>
                  <c:pt idx="1">
                    <c:v>15 mn</c:v>
                  </c:pt>
                  <c:pt idx="2">
                    <c:v>30 mn</c:v>
                  </c:pt>
                </c:lvl>
              </c:multiLvlStrCache>
            </c:multiLvlStrRef>
          </c:cat>
          <c:val>
            <c:numRef>
              <c:f>'3n 3n 3n'!$P$44:$P$46</c:f>
              <c:numCache>
                <c:formatCode>0.00</c:formatCode>
                <c:ptCount val="3"/>
                <c:pt idx="0" formatCode="General">
                  <c:v>64.833333333333329</c:v>
                </c:pt>
                <c:pt idx="1">
                  <c:v>62.466666666666669</c:v>
                </c:pt>
                <c:pt idx="2" formatCode="General">
                  <c:v>63.300000000000004</c:v>
                </c:pt>
              </c:numCache>
            </c:numRef>
          </c:val>
        </c:ser>
        <c:marker val="1"/>
        <c:axId val="57822208"/>
        <c:axId val="57832576"/>
      </c:lineChart>
      <c:catAx>
        <c:axId val="5782220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832576"/>
        <c:crosses val="autoZero"/>
        <c:lblAlgn val="ctr"/>
        <c:lblOffset val="100"/>
        <c:tickLblSkip val="1"/>
        <c:tickMarkSkip val="1"/>
      </c:catAx>
      <c:valAx>
        <c:axId val="57832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3434811383189941E-2"/>
              <c:y val="0.3636362065611147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8222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011720863136358"/>
          <c:y val="0.23262032085561488"/>
          <c:w val="0.20701769149085394"/>
          <c:h val="0.478609625668449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Graphique des effets moyens</a:t>
            </a:r>
          </a:p>
        </c:rich>
      </c:tx>
      <c:layout>
        <c:manualLayout>
          <c:xMode val="edge"/>
          <c:yMode val="edge"/>
          <c:x val="0.34460904318778335"/>
          <c:y val="3.80713300988892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65121680679383"/>
          <c:y val="0.17123929584559569"/>
          <c:w val="0.7326258899626038"/>
          <c:h val="0.48133699196691437"/>
        </c:manualLayout>
      </c:layout>
      <c:lineChart>
        <c:grouping val="standard"/>
        <c:ser>
          <c:idx val="0"/>
          <c:order val="0"/>
          <c:tx>
            <c:strRef>
              <c:f>'3n 2n 2n 2n'!$M$16</c:f>
              <c:strCache>
                <c:ptCount val="1"/>
                <c:pt idx="0">
                  <c:v>Facteur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'3n 2n 2n 2n'!$N$14:$Y$15</c:f>
              <c:multiLvlStrCache>
                <c:ptCount val="12"/>
                <c:lvl>
                  <c:pt idx="0">
                    <c:v>Souche</c:v>
                  </c:pt>
                  <c:pt idx="1">
                    <c:v>Souche</c:v>
                  </c:pt>
                  <c:pt idx="2">
                    <c:v>Souche</c:v>
                  </c:pt>
                  <c:pt idx="4">
                    <c:v>Age</c:v>
                  </c:pt>
                  <c:pt idx="5">
                    <c:v>Age</c:v>
                  </c:pt>
                  <c:pt idx="7">
                    <c:v>Sexe</c:v>
                  </c:pt>
                  <c:pt idx="8">
                    <c:v>Sexe</c:v>
                  </c:pt>
                  <c:pt idx="10">
                    <c:v>Traitement</c:v>
                  </c:pt>
                  <c:pt idx="11">
                    <c:v>Traitement</c:v>
                  </c:pt>
                </c:lvl>
                <c:lvl>
                  <c:pt idx="0">
                    <c:v>ScheA</c:v>
                  </c:pt>
                  <c:pt idx="1">
                    <c:v>ScheB</c:v>
                  </c:pt>
                  <c:pt idx="2">
                    <c:v>ScheC</c:v>
                  </c:pt>
                  <c:pt idx="3">
                    <c:v> </c:v>
                  </c:pt>
                  <c:pt idx="4">
                    <c:v>Jeune</c:v>
                  </c:pt>
                  <c:pt idx="5">
                    <c:v>Adulte</c:v>
                  </c:pt>
                  <c:pt idx="6">
                    <c:v> </c:v>
                  </c:pt>
                  <c:pt idx="7">
                    <c:v>Femelle</c:v>
                  </c:pt>
                  <c:pt idx="8">
                    <c:v>Mâle</c:v>
                  </c:pt>
                  <c:pt idx="9">
                    <c:v> </c:v>
                  </c:pt>
                  <c:pt idx="10">
                    <c:v>Placebo</c:v>
                  </c:pt>
                  <c:pt idx="11">
                    <c:v>Traité</c:v>
                  </c:pt>
                </c:lvl>
              </c:multiLvlStrCache>
            </c:multiLvlStrRef>
          </c:cat>
          <c:val>
            <c:numRef>
              <c:f>'3n 2n 2n 2n'!$N$16:$Y$16</c:f>
              <c:numCache>
                <c:formatCode>0.000</c:formatCode>
                <c:ptCount val="12"/>
                <c:pt idx="0">
                  <c:v>27.911250000000003</c:v>
                </c:pt>
                <c:pt idx="1">
                  <c:v>31.776250000000005</c:v>
                </c:pt>
                <c:pt idx="2">
                  <c:v>73.565000000000012</c:v>
                </c:pt>
                <c:pt idx="4">
                  <c:v>41.155000000000001</c:v>
                </c:pt>
                <c:pt idx="5">
                  <c:v>47.680000000000007</c:v>
                </c:pt>
                <c:pt idx="7">
                  <c:v>42.486666666666672</c:v>
                </c:pt>
                <c:pt idx="8">
                  <c:v>46.348333333333336</c:v>
                </c:pt>
                <c:pt idx="10">
                  <c:v>54.375</c:v>
                </c:pt>
                <c:pt idx="11">
                  <c:v>34.46</c:v>
                </c:pt>
              </c:numCache>
            </c:numRef>
          </c:val>
        </c:ser>
        <c:ser>
          <c:idx val="1"/>
          <c:order val="1"/>
          <c:tx>
            <c:strRef>
              <c:f>'3n 2n 2n 2n'!$M$17</c:f>
              <c:strCache>
                <c:ptCount val="1"/>
                <c:pt idx="0">
                  <c:v>Moyenne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multiLvlStrRef>
              <c:f>'3n 2n 2n 2n'!$N$14:$Y$15</c:f>
              <c:multiLvlStrCache>
                <c:ptCount val="12"/>
                <c:lvl>
                  <c:pt idx="0">
                    <c:v>Souche</c:v>
                  </c:pt>
                  <c:pt idx="1">
                    <c:v>Souche</c:v>
                  </c:pt>
                  <c:pt idx="2">
                    <c:v>Souche</c:v>
                  </c:pt>
                  <c:pt idx="4">
                    <c:v>Age</c:v>
                  </c:pt>
                  <c:pt idx="5">
                    <c:v>Age</c:v>
                  </c:pt>
                  <c:pt idx="7">
                    <c:v>Sexe</c:v>
                  </c:pt>
                  <c:pt idx="8">
                    <c:v>Sexe</c:v>
                  </c:pt>
                  <c:pt idx="10">
                    <c:v>Traitement</c:v>
                  </c:pt>
                  <c:pt idx="11">
                    <c:v>Traitement</c:v>
                  </c:pt>
                </c:lvl>
                <c:lvl>
                  <c:pt idx="0">
                    <c:v>ScheA</c:v>
                  </c:pt>
                  <c:pt idx="1">
                    <c:v>ScheB</c:v>
                  </c:pt>
                  <c:pt idx="2">
                    <c:v>ScheC</c:v>
                  </c:pt>
                  <c:pt idx="3">
                    <c:v> </c:v>
                  </c:pt>
                  <c:pt idx="4">
                    <c:v>Jeune</c:v>
                  </c:pt>
                  <c:pt idx="5">
                    <c:v>Adulte</c:v>
                  </c:pt>
                  <c:pt idx="6">
                    <c:v> </c:v>
                  </c:pt>
                  <c:pt idx="7">
                    <c:v>Femelle</c:v>
                  </c:pt>
                  <c:pt idx="8">
                    <c:v>Mâle</c:v>
                  </c:pt>
                  <c:pt idx="9">
                    <c:v> </c:v>
                  </c:pt>
                  <c:pt idx="10">
                    <c:v>Placebo</c:v>
                  </c:pt>
                  <c:pt idx="11">
                    <c:v>Traité</c:v>
                  </c:pt>
                </c:lvl>
              </c:multiLvlStrCache>
            </c:multiLvlStrRef>
          </c:cat>
          <c:val>
            <c:numRef>
              <c:f>'3n 2n 2n 2n'!$N$17:$Y$17</c:f>
              <c:numCache>
                <c:formatCode>0.000</c:formatCode>
                <c:ptCount val="12"/>
                <c:pt idx="0">
                  <c:v>44.417499999999997</c:v>
                </c:pt>
                <c:pt idx="1">
                  <c:v>44.417499999999997</c:v>
                </c:pt>
                <c:pt idx="2">
                  <c:v>44.417499999999997</c:v>
                </c:pt>
                <c:pt idx="3">
                  <c:v>44.417499999999997</c:v>
                </c:pt>
                <c:pt idx="4">
                  <c:v>44.417499999999997</c:v>
                </c:pt>
                <c:pt idx="5">
                  <c:v>44.417499999999997</c:v>
                </c:pt>
                <c:pt idx="6">
                  <c:v>44.417499999999997</c:v>
                </c:pt>
                <c:pt idx="7">
                  <c:v>44.417499999999997</c:v>
                </c:pt>
                <c:pt idx="8">
                  <c:v>44.417499999999997</c:v>
                </c:pt>
                <c:pt idx="9">
                  <c:v>44.417499999999997</c:v>
                </c:pt>
                <c:pt idx="10">
                  <c:v>44.417499999999997</c:v>
                </c:pt>
                <c:pt idx="11">
                  <c:v>44.417499999999997</c:v>
                </c:pt>
              </c:numCache>
            </c:numRef>
          </c:val>
        </c:ser>
        <c:marker val="1"/>
        <c:axId val="57854976"/>
        <c:axId val="57856768"/>
      </c:lineChart>
      <c:catAx>
        <c:axId val="5785497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856768"/>
        <c:crosses val="autoZero"/>
        <c:lblAlgn val="ctr"/>
        <c:lblOffset val="100"/>
        <c:tickLblSkip val="1"/>
        <c:tickMarkSkip val="1"/>
      </c:catAx>
      <c:valAx>
        <c:axId val="57856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9027439751849201E-2"/>
              <c:y val="0.29187909276492047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8549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945776664280604"/>
          <c:y val="0.44789694848749967"/>
          <c:w val="0.13142495824385567"/>
          <c:h val="0.17232131021501088"/>
        </c:manualLayout>
      </c:layout>
      <c:spPr>
        <a:ln>
          <a:solidFill>
            <a:srgbClr val="808080"/>
          </a:solidFill>
        </a:ln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 paperSize="9" orientation="landscape" horizontalDpi="360" verticalDpi="360" copies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A</a:t>
            </a:r>
          </a:p>
        </c:rich>
      </c:tx>
      <c:layout>
        <c:manualLayout>
          <c:xMode val="edge"/>
          <c:yMode val="edge"/>
          <c:x val="0.3396227943169588"/>
          <c:y val="3.91061452513966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8113237677266887E-2"/>
          <c:y val="0.15753324767442112"/>
          <c:w val="0.68679266374086811"/>
          <c:h val="0.50309665945197268"/>
        </c:manualLayout>
      </c:layout>
      <c:lineChart>
        <c:grouping val="standard"/>
        <c:ser>
          <c:idx val="0"/>
          <c:order val="0"/>
          <c:tx>
            <c:strRef>
              <c:f>'3n 2n 2n 2n'!$O$19:$O$20</c:f>
              <c:strCache>
                <c:ptCount val="1"/>
                <c:pt idx="0">
                  <c:v>Souche ScheA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'3n 2n 2n 2n'!$M$21:$N$28</c:f>
              <c:multiLvlStrCache>
                <c:ptCount val="8"/>
                <c:lvl>
                  <c:pt idx="0">
                    <c:v>Age</c:v>
                  </c:pt>
                  <c:pt idx="1">
                    <c:v>Age</c:v>
                  </c:pt>
                  <c:pt idx="3">
                    <c:v>Sexe</c:v>
                  </c:pt>
                  <c:pt idx="4">
                    <c:v>Sexe</c:v>
                  </c:pt>
                  <c:pt idx="6">
                    <c:v>Traitement</c:v>
                  </c:pt>
                  <c:pt idx="7">
                    <c:v>Traitement</c:v>
                  </c:pt>
                </c:lvl>
                <c:lvl>
                  <c:pt idx="0">
                    <c:v>Jeune</c:v>
                  </c:pt>
                  <c:pt idx="1">
                    <c:v>Adulte</c:v>
                  </c:pt>
                  <c:pt idx="2">
                    <c:v> </c:v>
                  </c:pt>
                  <c:pt idx="3">
                    <c:v>Femelle</c:v>
                  </c:pt>
                  <c:pt idx="4">
                    <c:v>Mâle</c:v>
                  </c:pt>
                  <c:pt idx="5">
                    <c:v> </c:v>
                  </c:pt>
                  <c:pt idx="6">
                    <c:v>Placebo</c:v>
                  </c:pt>
                  <c:pt idx="7">
                    <c:v>Traité</c:v>
                  </c:pt>
                </c:lvl>
              </c:multiLvlStrCache>
            </c:multiLvlStrRef>
          </c:cat>
          <c:val>
            <c:numRef>
              <c:f>'3n 2n 2n 2n'!$O$21:$O$28</c:f>
              <c:numCache>
                <c:formatCode>General</c:formatCode>
                <c:ptCount val="8"/>
                <c:pt idx="0">
                  <c:v>20.957500000000003</c:v>
                </c:pt>
                <c:pt idx="1">
                  <c:v>34.865000000000002</c:v>
                </c:pt>
                <c:pt idx="3">
                  <c:v>22.990000000000002</c:v>
                </c:pt>
                <c:pt idx="4">
                  <c:v>32.832500000000003</c:v>
                </c:pt>
                <c:pt idx="6">
                  <c:v>33.602499999999999</c:v>
                </c:pt>
                <c:pt idx="7">
                  <c:v>22.220000000000002</c:v>
                </c:pt>
              </c:numCache>
            </c:numRef>
          </c:val>
        </c:ser>
        <c:ser>
          <c:idx val="1"/>
          <c:order val="1"/>
          <c:tx>
            <c:strRef>
              <c:f>'3n 2n 2n 2n'!$P$19:$P$20</c:f>
              <c:strCache>
                <c:ptCount val="1"/>
                <c:pt idx="0">
                  <c:v>Souche ScheB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'3n 2n 2n 2n'!$M$21:$N$28</c:f>
              <c:multiLvlStrCache>
                <c:ptCount val="8"/>
                <c:lvl>
                  <c:pt idx="0">
                    <c:v>Age</c:v>
                  </c:pt>
                  <c:pt idx="1">
                    <c:v>Age</c:v>
                  </c:pt>
                  <c:pt idx="3">
                    <c:v>Sexe</c:v>
                  </c:pt>
                  <c:pt idx="4">
                    <c:v>Sexe</c:v>
                  </c:pt>
                  <c:pt idx="6">
                    <c:v>Traitement</c:v>
                  </c:pt>
                  <c:pt idx="7">
                    <c:v>Traitement</c:v>
                  </c:pt>
                </c:lvl>
                <c:lvl>
                  <c:pt idx="0">
                    <c:v>Jeune</c:v>
                  </c:pt>
                  <c:pt idx="1">
                    <c:v>Adulte</c:v>
                  </c:pt>
                  <c:pt idx="2">
                    <c:v> </c:v>
                  </c:pt>
                  <c:pt idx="3">
                    <c:v>Femelle</c:v>
                  </c:pt>
                  <c:pt idx="4">
                    <c:v>Mâle</c:v>
                  </c:pt>
                  <c:pt idx="5">
                    <c:v> </c:v>
                  </c:pt>
                  <c:pt idx="6">
                    <c:v>Placebo</c:v>
                  </c:pt>
                  <c:pt idx="7">
                    <c:v>Traité</c:v>
                  </c:pt>
                </c:lvl>
              </c:multiLvlStrCache>
            </c:multiLvlStrRef>
          </c:cat>
          <c:val>
            <c:numRef>
              <c:f>'3n 2n 2n 2n'!$P$21:$P$28</c:f>
              <c:numCache>
                <c:formatCode>General</c:formatCode>
                <c:ptCount val="8"/>
                <c:pt idx="0">
                  <c:v>29.387500000000003</c:v>
                </c:pt>
                <c:pt idx="1">
                  <c:v>34.164999999999999</c:v>
                </c:pt>
                <c:pt idx="3">
                  <c:v>31.567500000000003</c:v>
                </c:pt>
                <c:pt idx="4">
                  <c:v>31.984999999999999</c:v>
                </c:pt>
                <c:pt idx="6">
                  <c:v>38.57</c:v>
                </c:pt>
                <c:pt idx="7">
                  <c:v>24.982500000000002</c:v>
                </c:pt>
              </c:numCache>
            </c:numRef>
          </c:val>
        </c:ser>
        <c:ser>
          <c:idx val="2"/>
          <c:order val="2"/>
          <c:tx>
            <c:strRef>
              <c:f>'3n 2n 2n 2n'!$Q$19:$Q$20</c:f>
              <c:strCache>
                <c:ptCount val="1"/>
                <c:pt idx="0">
                  <c:v>Souche ScheC</c:v>
                </c:pt>
              </c:strCache>
            </c:strRef>
          </c:tx>
          <c:spPr>
            <a:ln w="25400">
              <a:solidFill>
                <a:srgbClr val="3333CC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3333CC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multiLvlStrRef>
              <c:f>'3n 2n 2n 2n'!$M$21:$N$28</c:f>
              <c:multiLvlStrCache>
                <c:ptCount val="8"/>
                <c:lvl>
                  <c:pt idx="0">
                    <c:v>Age</c:v>
                  </c:pt>
                  <c:pt idx="1">
                    <c:v>Age</c:v>
                  </c:pt>
                  <c:pt idx="3">
                    <c:v>Sexe</c:v>
                  </c:pt>
                  <c:pt idx="4">
                    <c:v>Sexe</c:v>
                  </c:pt>
                  <c:pt idx="6">
                    <c:v>Traitement</c:v>
                  </c:pt>
                  <c:pt idx="7">
                    <c:v>Traitement</c:v>
                  </c:pt>
                </c:lvl>
                <c:lvl>
                  <c:pt idx="0">
                    <c:v>Jeune</c:v>
                  </c:pt>
                  <c:pt idx="1">
                    <c:v>Adulte</c:v>
                  </c:pt>
                  <c:pt idx="2">
                    <c:v> </c:v>
                  </c:pt>
                  <c:pt idx="3">
                    <c:v>Femelle</c:v>
                  </c:pt>
                  <c:pt idx="4">
                    <c:v>Mâle</c:v>
                  </c:pt>
                  <c:pt idx="5">
                    <c:v> </c:v>
                  </c:pt>
                  <c:pt idx="6">
                    <c:v>Placebo</c:v>
                  </c:pt>
                  <c:pt idx="7">
                    <c:v>Traité</c:v>
                  </c:pt>
                </c:lvl>
              </c:multiLvlStrCache>
            </c:multiLvlStrRef>
          </c:cat>
          <c:val>
            <c:numRef>
              <c:f>'3n 2n 2n 2n'!$Q$21:$Q$28</c:f>
              <c:numCache>
                <c:formatCode>General</c:formatCode>
                <c:ptCount val="8"/>
                <c:pt idx="0">
                  <c:v>73.12</c:v>
                </c:pt>
                <c:pt idx="1">
                  <c:v>74.009999999999991</c:v>
                </c:pt>
                <c:pt idx="3">
                  <c:v>72.902500000000003</c:v>
                </c:pt>
                <c:pt idx="4">
                  <c:v>74.227499999999992</c:v>
                </c:pt>
                <c:pt idx="6">
                  <c:v>90.952500000000001</c:v>
                </c:pt>
                <c:pt idx="7">
                  <c:v>56.177500000000002</c:v>
                </c:pt>
              </c:numCache>
            </c:numRef>
          </c:val>
        </c:ser>
        <c:marker val="1"/>
        <c:axId val="58111872"/>
        <c:axId val="58130432"/>
      </c:lineChart>
      <c:catAx>
        <c:axId val="5811187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130432"/>
        <c:crosses val="autoZero"/>
        <c:lblAlgn val="ctr"/>
        <c:lblOffset val="100"/>
        <c:tickLblSkip val="1"/>
        <c:tickMarkSkip val="1"/>
      </c:catAx>
      <c:valAx>
        <c:axId val="58130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2641596752547011E-2"/>
              <c:y val="0.287710596929574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111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76102593598995"/>
          <c:y val="0.24581115558879219"/>
          <c:w val="0.16603777015278631"/>
          <c:h val="0.371509846185427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B</a:t>
            </a:r>
          </a:p>
        </c:rich>
      </c:tx>
      <c:layout>
        <c:manualLayout>
          <c:xMode val="edge"/>
          <c:yMode val="edge"/>
          <c:x val="0.34088070195605258"/>
          <c:y val="4.046230532422643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943399587079768"/>
          <c:y val="0.17072369158983344"/>
          <c:w val="0.69433983586989012"/>
          <c:h val="0.4645003776237373"/>
        </c:manualLayout>
      </c:layout>
      <c:lineChart>
        <c:grouping val="standard"/>
        <c:ser>
          <c:idx val="0"/>
          <c:order val="0"/>
          <c:tx>
            <c:strRef>
              <c:f>'3n 2n 2n 2n'!$O$37:$O$38</c:f>
              <c:strCache>
                <c:ptCount val="1"/>
                <c:pt idx="0">
                  <c:v>Age Jeune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'3n 2n 2n 2n'!$M$39:$N$43</c:f>
              <c:multiLvlStrCache>
                <c:ptCount val="5"/>
                <c:lvl>
                  <c:pt idx="0">
                    <c:v>Sexe</c:v>
                  </c:pt>
                  <c:pt idx="1">
                    <c:v>Sexe</c:v>
                  </c:pt>
                  <c:pt idx="3">
                    <c:v>Traitement</c:v>
                  </c:pt>
                  <c:pt idx="4">
                    <c:v>Traitement</c:v>
                  </c:pt>
                </c:lvl>
                <c:lvl>
                  <c:pt idx="0">
                    <c:v>Femelle</c:v>
                  </c:pt>
                  <c:pt idx="1">
                    <c:v>Mâle</c:v>
                  </c:pt>
                  <c:pt idx="2">
                    <c:v> </c:v>
                  </c:pt>
                  <c:pt idx="3">
                    <c:v>Placebo</c:v>
                  </c:pt>
                  <c:pt idx="4">
                    <c:v>Placebo</c:v>
                  </c:pt>
                </c:lvl>
              </c:multiLvlStrCache>
            </c:multiLvlStrRef>
          </c:cat>
          <c:val>
            <c:numRef>
              <c:f>'3n 2n 2n 2n'!$O$39:$O$43</c:f>
              <c:numCache>
                <c:formatCode>0.00</c:formatCode>
                <c:ptCount val="5"/>
                <c:pt idx="0">
                  <c:v>40.291666666666664</c:v>
                </c:pt>
                <c:pt idx="1">
                  <c:v>42.018333333333338</c:v>
                </c:pt>
                <c:pt idx="3">
                  <c:v>50.96</c:v>
                </c:pt>
                <c:pt idx="4">
                  <c:v>31.350000000000005</c:v>
                </c:pt>
              </c:numCache>
            </c:numRef>
          </c:val>
        </c:ser>
        <c:ser>
          <c:idx val="1"/>
          <c:order val="1"/>
          <c:tx>
            <c:strRef>
              <c:f>'3n 2n 2n 2n'!$P$37:$P$38</c:f>
              <c:strCache>
                <c:ptCount val="1"/>
                <c:pt idx="0">
                  <c:v>Age Adulte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'3n 2n 2n 2n'!$M$39:$N$43</c:f>
              <c:multiLvlStrCache>
                <c:ptCount val="5"/>
                <c:lvl>
                  <c:pt idx="0">
                    <c:v>Sexe</c:v>
                  </c:pt>
                  <c:pt idx="1">
                    <c:v>Sexe</c:v>
                  </c:pt>
                  <c:pt idx="3">
                    <c:v>Traitement</c:v>
                  </c:pt>
                  <c:pt idx="4">
                    <c:v>Traitement</c:v>
                  </c:pt>
                </c:lvl>
                <c:lvl>
                  <c:pt idx="0">
                    <c:v>Femelle</c:v>
                  </c:pt>
                  <c:pt idx="1">
                    <c:v>Mâle</c:v>
                  </c:pt>
                  <c:pt idx="2">
                    <c:v> </c:v>
                  </c:pt>
                  <c:pt idx="3">
                    <c:v>Placebo</c:v>
                  </c:pt>
                  <c:pt idx="4">
                    <c:v>Placebo</c:v>
                  </c:pt>
                </c:lvl>
              </c:multiLvlStrCache>
            </c:multiLvlStrRef>
          </c:cat>
          <c:val>
            <c:numRef>
              <c:f>'3n 2n 2n 2n'!$P$39:$P$43</c:f>
              <c:numCache>
                <c:formatCode>0.00</c:formatCode>
                <c:ptCount val="5"/>
                <c:pt idx="0">
                  <c:v>44.681666666666672</c:v>
                </c:pt>
                <c:pt idx="1">
                  <c:v>50.678333333333335</c:v>
                </c:pt>
                <c:pt idx="3">
                  <c:v>57.79</c:v>
                </c:pt>
                <c:pt idx="4">
                  <c:v>37.57</c:v>
                </c:pt>
              </c:numCache>
            </c:numRef>
          </c:val>
        </c:ser>
        <c:marker val="1"/>
        <c:axId val="58241408"/>
        <c:axId val="58243328"/>
      </c:lineChart>
      <c:catAx>
        <c:axId val="5824140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243328"/>
        <c:crosses val="autoZero"/>
        <c:lblAlgn val="ctr"/>
        <c:lblOffset val="100"/>
        <c:tickLblSkip val="1"/>
        <c:tickMarkSkip val="1"/>
      </c:catAx>
      <c:valAx>
        <c:axId val="58243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2879872851921326E-2"/>
              <c:y val="0.2803470848720093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241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132095714313224"/>
          <c:y val="0.25144546052780881"/>
          <c:w val="0.17358488035710903"/>
          <c:h val="0.1965319536787008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CD</a:t>
            </a:r>
          </a:p>
        </c:rich>
      </c:tx>
      <c:layout>
        <c:manualLayout>
          <c:xMode val="edge"/>
          <c:yMode val="edge"/>
          <c:x val="0.4006031657189863"/>
          <c:y val="3.975535168195718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843393428560627"/>
          <c:y val="0.18212381441611919"/>
          <c:w val="0.59021270531581738"/>
          <c:h val="0.56508138828051169"/>
        </c:manualLayout>
      </c:layout>
      <c:lineChart>
        <c:grouping val="standard"/>
        <c:ser>
          <c:idx val="0"/>
          <c:order val="0"/>
          <c:tx>
            <c:strRef>
              <c:f>'3n 2n 2n 2n'!$O$52:$O$53</c:f>
              <c:strCache>
                <c:ptCount val="1"/>
                <c:pt idx="0">
                  <c:v>Sexe Femelle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'3n 2n 2n 2n'!$M$54:$N$55</c:f>
              <c:multiLvlStrCache>
                <c:ptCount val="2"/>
                <c:lvl>
                  <c:pt idx="0">
                    <c:v>Traitement</c:v>
                  </c:pt>
                  <c:pt idx="1">
                    <c:v>Traitement</c:v>
                  </c:pt>
                </c:lvl>
                <c:lvl>
                  <c:pt idx="0">
                    <c:v>Placebo</c:v>
                  </c:pt>
                  <c:pt idx="1">
                    <c:v>Traité</c:v>
                  </c:pt>
                </c:lvl>
              </c:multiLvlStrCache>
            </c:multiLvlStrRef>
          </c:cat>
          <c:val>
            <c:numRef>
              <c:f>'3n 2n 2n 2n'!$O$54:$O$55</c:f>
              <c:numCache>
                <c:formatCode>General</c:formatCode>
                <c:ptCount val="2"/>
                <c:pt idx="0">
                  <c:v>52.95000000000001</c:v>
                </c:pt>
                <c:pt idx="1">
                  <c:v>32.023333333333333</c:v>
                </c:pt>
              </c:numCache>
            </c:numRef>
          </c:val>
        </c:ser>
        <c:ser>
          <c:idx val="1"/>
          <c:order val="1"/>
          <c:tx>
            <c:strRef>
              <c:f>'3n 2n 2n 2n'!$P$52:$P$53</c:f>
              <c:strCache>
                <c:ptCount val="1"/>
                <c:pt idx="0">
                  <c:v>Sexe Mâle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'3n 2n 2n 2n'!$M$54:$N$55</c:f>
              <c:multiLvlStrCache>
                <c:ptCount val="2"/>
                <c:lvl>
                  <c:pt idx="0">
                    <c:v>Traitement</c:v>
                  </c:pt>
                  <c:pt idx="1">
                    <c:v>Traitement</c:v>
                  </c:pt>
                </c:lvl>
                <c:lvl>
                  <c:pt idx="0">
                    <c:v>Placebo</c:v>
                  </c:pt>
                  <c:pt idx="1">
                    <c:v>Traité</c:v>
                  </c:pt>
                </c:lvl>
              </c:multiLvlStrCache>
            </c:multiLvlStrRef>
          </c:cat>
          <c:val>
            <c:numRef>
              <c:f>'3n 2n 2n 2n'!$P$54:$P$55</c:f>
              <c:numCache>
                <c:formatCode>General</c:formatCode>
                <c:ptCount val="2"/>
                <c:pt idx="0">
                  <c:v>55.800000000000004</c:v>
                </c:pt>
                <c:pt idx="1">
                  <c:v>36.896666666666668</c:v>
                </c:pt>
              </c:numCache>
            </c:numRef>
          </c:val>
        </c:ser>
        <c:marker val="1"/>
        <c:axId val="58305152"/>
        <c:axId val="58741504"/>
      </c:lineChart>
      <c:catAx>
        <c:axId val="5830515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741504"/>
        <c:crosses val="autoZero"/>
        <c:lblAlgn val="ctr"/>
        <c:lblOffset val="100"/>
        <c:tickLblSkip val="1"/>
        <c:tickMarkSkip val="1"/>
      </c:catAx>
      <c:valAx>
        <c:axId val="58741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3628053388766905E-2"/>
              <c:y val="0.342509391541528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3051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443823964654012"/>
          <c:y val="0.26911435382503796"/>
          <c:w val="0.21899707003506583"/>
          <c:h val="0.3027534975559245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Effets moyens</a:t>
            </a:r>
          </a:p>
        </c:rich>
      </c:tx>
      <c:layout>
        <c:manualLayout>
          <c:xMode val="edge"/>
          <c:yMode val="edge"/>
          <c:x val="0.44424836829024755"/>
          <c:y val="3.64584608271116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30099164433019E-2"/>
          <c:y val="0.13932842472467388"/>
          <c:w val="0.78779096283941064"/>
          <c:h val="0.55709845041301675"/>
        </c:manualLayout>
      </c:layout>
      <c:lineChart>
        <c:grouping val="standard"/>
        <c:ser>
          <c:idx val="0"/>
          <c:order val="0"/>
          <c:tx>
            <c:strRef>
              <c:f>'3n 3n 2n 2n 2n'!$O$9</c:f>
              <c:strCache>
                <c:ptCount val="1"/>
                <c:pt idx="0">
                  <c:v>Facteur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'3n 3n 2n 2n 2n'!$P$7:$AE$8</c:f>
              <c:multiLvlStrCache>
                <c:ptCount val="16"/>
                <c:lvl>
                  <c:pt idx="0">
                    <c:v>Fact.A </c:v>
                  </c:pt>
                  <c:pt idx="1">
                    <c:v>Fact.A </c:v>
                  </c:pt>
                  <c:pt idx="2">
                    <c:v>Fact.A </c:v>
                  </c:pt>
                  <c:pt idx="3">
                    <c:v> </c:v>
                  </c:pt>
                  <c:pt idx="4">
                    <c:v>Fact.B</c:v>
                  </c:pt>
                  <c:pt idx="5">
                    <c:v>Fact.B</c:v>
                  </c:pt>
                  <c:pt idx="6">
                    <c:v>Fact.B</c:v>
                  </c:pt>
                  <c:pt idx="7">
                    <c:v> </c:v>
                  </c:pt>
                  <c:pt idx="8">
                    <c:v>Fact.C</c:v>
                  </c:pt>
                  <c:pt idx="9">
                    <c:v>Fact.C</c:v>
                  </c:pt>
                  <c:pt idx="10">
                    <c:v> </c:v>
                  </c:pt>
                  <c:pt idx="11">
                    <c:v>Fact.D</c:v>
                  </c:pt>
                  <c:pt idx="12">
                    <c:v>Fact.D</c:v>
                  </c:pt>
                  <c:pt idx="13">
                    <c:v> </c:v>
                  </c:pt>
                  <c:pt idx="14">
                    <c:v>Fact.E</c:v>
                  </c:pt>
                  <c:pt idx="15">
                    <c:v>Fact.E</c:v>
                  </c:pt>
                </c:lvl>
                <c:lvl>
                  <c:pt idx="0">
                    <c:v>A1</c:v>
                  </c:pt>
                  <c:pt idx="1">
                    <c:v>A2</c:v>
                  </c:pt>
                  <c:pt idx="2">
                    <c:v>A3</c:v>
                  </c:pt>
                  <c:pt idx="3">
                    <c:v> </c:v>
                  </c:pt>
                  <c:pt idx="4">
                    <c:v>B1</c:v>
                  </c:pt>
                  <c:pt idx="5">
                    <c:v>B2</c:v>
                  </c:pt>
                  <c:pt idx="6">
                    <c:v>B3</c:v>
                  </c:pt>
                  <c:pt idx="7">
                    <c:v> </c:v>
                  </c:pt>
                  <c:pt idx="8">
                    <c:v>C1</c:v>
                  </c:pt>
                  <c:pt idx="9">
                    <c:v>C2</c:v>
                  </c:pt>
                  <c:pt idx="10">
                    <c:v> </c:v>
                  </c:pt>
                  <c:pt idx="11">
                    <c:v>D1</c:v>
                  </c:pt>
                  <c:pt idx="12">
                    <c:v>D2</c:v>
                  </c:pt>
                  <c:pt idx="13">
                    <c:v> </c:v>
                  </c:pt>
                  <c:pt idx="14">
                    <c:v>E1</c:v>
                  </c:pt>
                  <c:pt idx="15">
                    <c:v>E2</c:v>
                  </c:pt>
                </c:lvl>
              </c:multiLvlStrCache>
            </c:multiLvlStrRef>
          </c:cat>
          <c:val>
            <c:numRef>
              <c:f>'3n 3n 2n 2n 2n'!$P$9:$AE$9</c:f>
              <c:numCache>
                <c:formatCode>0.000</c:formatCode>
                <c:ptCount val="16"/>
                <c:pt idx="0">
                  <c:v>33.614458333333339</c:v>
                </c:pt>
                <c:pt idx="1">
                  <c:v>39.015833333333326</c:v>
                </c:pt>
                <c:pt idx="2">
                  <c:v>33.722624999999994</c:v>
                </c:pt>
                <c:pt idx="4">
                  <c:v>36.087375000000002</c:v>
                </c:pt>
                <c:pt idx="5">
                  <c:v>33.885583333333336</c:v>
                </c:pt>
                <c:pt idx="6">
                  <c:v>36.379958333333335</c:v>
                </c:pt>
                <c:pt idx="8">
                  <c:v>34.440666666666679</c:v>
                </c:pt>
                <c:pt idx="9">
                  <c:v>36.461277777777767</c:v>
                </c:pt>
                <c:pt idx="11">
                  <c:v>34.013611111111111</c:v>
                </c:pt>
                <c:pt idx="12">
                  <c:v>36.888333333333335</c:v>
                </c:pt>
                <c:pt idx="14">
                  <c:v>34.949194444444451</c:v>
                </c:pt>
                <c:pt idx="15">
                  <c:v>35.952750000000002</c:v>
                </c:pt>
              </c:numCache>
            </c:numRef>
          </c:val>
        </c:ser>
        <c:ser>
          <c:idx val="1"/>
          <c:order val="1"/>
          <c:tx>
            <c:strRef>
              <c:f>'3n 3n 2n 2n 2n'!$O$10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none"/>
          </c:marker>
          <c:cat>
            <c:multiLvlStrRef>
              <c:f>'3n 3n 2n 2n 2n'!$P$7:$AE$8</c:f>
              <c:multiLvlStrCache>
                <c:ptCount val="16"/>
                <c:lvl>
                  <c:pt idx="0">
                    <c:v>Fact.A </c:v>
                  </c:pt>
                  <c:pt idx="1">
                    <c:v>Fact.A </c:v>
                  </c:pt>
                  <c:pt idx="2">
                    <c:v>Fact.A </c:v>
                  </c:pt>
                  <c:pt idx="3">
                    <c:v> </c:v>
                  </c:pt>
                  <c:pt idx="4">
                    <c:v>Fact.B</c:v>
                  </c:pt>
                  <c:pt idx="5">
                    <c:v>Fact.B</c:v>
                  </c:pt>
                  <c:pt idx="6">
                    <c:v>Fact.B</c:v>
                  </c:pt>
                  <c:pt idx="7">
                    <c:v> </c:v>
                  </c:pt>
                  <c:pt idx="8">
                    <c:v>Fact.C</c:v>
                  </c:pt>
                  <c:pt idx="9">
                    <c:v>Fact.C</c:v>
                  </c:pt>
                  <c:pt idx="10">
                    <c:v> </c:v>
                  </c:pt>
                  <c:pt idx="11">
                    <c:v>Fact.D</c:v>
                  </c:pt>
                  <c:pt idx="12">
                    <c:v>Fact.D</c:v>
                  </c:pt>
                  <c:pt idx="13">
                    <c:v> </c:v>
                  </c:pt>
                  <c:pt idx="14">
                    <c:v>Fact.E</c:v>
                  </c:pt>
                  <c:pt idx="15">
                    <c:v>Fact.E</c:v>
                  </c:pt>
                </c:lvl>
                <c:lvl>
                  <c:pt idx="0">
                    <c:v>A1</c:v>
                  </c:pt>
                  <c:pt idx="1">
                    <c:v>A2</c:v>
                  </c:pt>
                  <c:pt idx="2">
                    <c:v>A3</c:v>
                  </c:pt>
                  <c:pt idx="3">
                    <c:v> </c:v>
                  </c:pt>
                  <c:pt idx="4">
                    <c:v>B1</c:v>
                  </c:pt>
                  <c:pt idx="5">
                    <c:v>B2</c:v>
                  </c:pt>
                  <c:pt idx="6">
                    <c:v>B3</c:v>
                  </c:pt>
                  <c:pt idx="7">
                    <c:v> </c:v>
                  </c:pt>
                  <c:pt idx="8">
                    <c:v>C1</c:v>
                  </c:pt>
                  <c:pt idx="9">
                    <c:v>C2</c:v>
                  </c:pt>
                  <c:pt idx="10">
                    <c:v> </c:v>
                  </c:pt>
                  <c:pt idx="11">
                    <c:v>D1</c:v>
                  </c:pt>
                  <c:pt idx="12">
                    <c:v>D2</c:v>
                  </c:pt>
                  <c:pt idx="13">
                    <c:v> </c:v>
                  </c:pt>
                  <c:pt idx="14">
                    <c:v>E1</c:v>
                  </c:pt>
                  <c:pt idx="15">
                    <c:v>E2</c:v>
                  </c:pt>
                </c:lvl>
              </c:multiLvlStrCache>
            </c:multiLvlStrRef>
          </c:cat>
          <c:val>
            <c:numRef>
              <c:f>'3n 3n 2n 2n 2n'!$P$10:$AE$10</c:f>
              <c:numCache>
                <c:formatCode>0.000</c:formatCode>
                <c:ptCount val="16"/>
                <c:pt idx="0">
                  <c:v>35.450972222222219</c:v>
                </c:pt>
                <c:pt idx="1">
                  <c:v>35.450972222222219</c:v>
                </c:pt>
                <c:pt idx="2">
                  <c:v>35.450972222222219</c:v>
                </c:pt>
                <c:pt idx="3">
                  <c:v>35.450972222222219</c:v>
                </c:pt>
                <c:pt idx="4">
                  <c:v>35.450972222222219</c:v>
                </c:pt>
                <c:pt idx="5">
                  <c:v>35.450972222222219</c:v>
                </c:pt>
                <c:pt idx="6">
                  <c:v>35.450972222222219</c:v>
                </c:pt>
                <c:pt idx="7">
                  <c:v>35.450972222222219</c:v>
                </c:pt>
                <c:pt idx="8">
                  <c:v>35.450972222222219</c:v>
                </c:pt>
                <c:pt idx="9">
                  <c:v>35.450972222222219</c:v>
                </c:pt>
                <c:pt idx="10">
                  <c:v>35.450972222222219</c:v>
                </c:pt>
                <c:pt idx="11">
                  <c:v>35.450972222222219</c:v>
                </c:pt>
                <c:pt idx="12">
                  <c:v>35.450972222222219</c:v>
                </c:pt>
                <c:pt idx="13">
                  <c:v>35.450972222222219</c:v>
                </c:pt>
                <c:pt idx="14">
                  <c:v>35.450972222222219</c:v>
                </c:pt>
                <c:pt idx="15">
                  <c:v>35.450972222222219</c:v>
                </c:pt>
              </c:numCache>
            </c:numRef>
          </c:val>
        </c:ser>
        <c:marker val="1"/>
        <c:axId val="58912128"/>
        <c:axId val="58983552"/>
      </c:lineChart>
      <c:catAx>
        <c:axId val="5891212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983552"/>
        <c:crosses val="autoZero"/>
        <c:lblAlgn val="ctr"/>
        <c:lblOffset val="100"/>
        <c:tickLblSkip val="1"/>
        <c:tickMarkSkip val="1"/>
      </c:catAx>
      <c:valAx>
        <c:axId val="589835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0014394600679936E-2"/>
              <c:y val="0.34375050057870826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8912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407195781943182"/>
          <c:y val="5.2083418329185532E-2"/>
          <c:w val="0.11061958516247399"/>
          <c:h val="0.1223960670719271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A</a:t>
            </a:r>
          </a:p>
        </c:rich>
      </c:tx>
      <c:layout>
        <c:manualLayout>
          <c:xMode val="edge"/>
          <c:yMode val="edge"/>
          <c:x val="0.37937561089362987"/>
          <c:y val="3.55450236966824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308429562361146E-2"/>
          <c:y val="0.13663089181627741"/>
          <c:w val="0.75591304850950214"/>
          <c:h val="0.54820428888347172"/>
        </c:manualLayout>
      </c:layout>
      <c:lineChart>
        <c:grouping val="standard"/>
        <c:ser>
          <c:idx val="0"/>
          <c:order val="0"/>
          <c:tx>
            <c:strRef>
              <c:f>'3n 3n 2n 2n 2n'!$P$21:$P$22</c:f>
              <c:strCache>
                <c:ptCount val="1"/>
                <c:pt idx="0">
                  <c:v>Fact.A  A1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'3n 3n 2n 2n 2n'!$N$23:$O$34</c:f>
              <c:multiLvlStrCache>
                <c:ptCount val="12"/>
                <c:lvl>
                  <c:pt idx="0">
                    <c:v>Fact.B</c:v>
                  </c:pt>
                  <c:pt idx="1">
                    <c:v>Fact.B</c:v>
                  </c:pt>
                  <c:pt idx="2">
                    <c:v>Fact.B</c:v>
                  </c:pt>
                  <c:pt idx="4">
                    <c:v>Fact.C</c:v>
                  </c:pt>
                  <c:pt idx="5">
                    <c:v>Fact.C</c:v>
                  </c:pt>
                  <c:pt idx="7">
                    <c:v>Fact.D</c:v>
                  </c:pt>
                  <c:pt idx="8">
                    <c:v>Fact.D</c:v>
                  </c:pt>
                  <c:pt idx="10">
                    <c:v>Fact.E</c:v>
                  </c:pt>
                  <c:pt idx="11">
                    <c:v>Fact.E</c:v>
                  </c:pt>
                </c:lvl>
                <c:lvl>
                  <c:pt idx="0">
                    <c:v>B1</c:v>
                  </c:pt>
                  <c:pt idx="1">
                    <c:v>B2</c:v>
                  </c:pt>
                  <c:pt idx="2">
                    <c:v>B3</c:v>
                  </c:pt>
                  <c:pt idx="3">
                    <c:v> </c:v>
                  </c:pt>
                  <c:pt idx="4">
                    <c:v>C1</c:v>
                  </c:pt>
                  <c:pt idx="5">
                    <c:v>C2</c:v>
                  </c:pt>
                  <c:pt idx="6">
                    <c:v> </c:v>
                  </c:pt>
                  <c:pt idx="7">
                    <c:v>D1</c:v>
                  </c:pt>
                  <c:pt idx="8">
                    <c:v>D2</c:v>
                  </c:pt>
                  <c:pt idx="9">
                    <c:v> </c:v>
                  </c:pt>
                  <c:pt idx="10">
                    <c:v>E1</c:v>
                  </c:pt>
                  <c:pt idx="11">
                    <c:v>E2</c:v>
                  </c:pt>
                </c:lvl>
              </c:multiLvlStrCache>
            </c:multiLvlStrRef>
          </c:cat>
          <c:val>
            <c:numRef>
              <c:f>'3n 3n 2n 2n 2n'!$P$23:$P$34</c:f>
              <c:numCache>
                <c:formatCode>0.00</c:formatCode>
                <c:ptCount val="12"/>
                <c:pt idx="0">
                  <c:v>33.655124999999998</c:v>
                </c:pt>
                <c:pt idx="1">
                  <c:v>31.617625</c:v>
                </c:pt>
                <c:pt idx="2">
                  <c:v>35.570625</c:v>
                </c:pt>
                <c:pt idx="4">
                  <c:v>31.83283333333333</c:v>
                </c:pt>
                <c:pt idx="5">
                  <c:v>35.39608333333333</c:v>
                </c:pt>
                <c:pt idx="7">
                  <c:v>30.748416666666667</c:v>
                </c:pt>
                <c:pt idx="8">
                  <c:v>36.480499999999999</c:v>
                </c:pt>
                <c:pt idx="10">
                  <c:v>33.451416666666667</c:v>
                </c:pt>
                <c:pt idx="11">
                  <c:v>33.777499999999996</c:v>
                </c:pt>
              </c:numCache>
            </c:numRef>
          </c:val>
        </c:ser>
        <c:ser>
          <c:idx val="1"/>
          <c:order val="1"/>
          <c:tx>
            <c:strRef>
              <c:f>'3n 3n 2n 2n 2n'!$Q$21:$Q$22</c:f>
              <c:strCache>
                <c:ptCount val="1"/>
                <c:pt idx="0">
                  <c:v>Fact.A  A2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'3n 3n 2n 2n 2n'!$N$23:$O$34</c:f>
              <c:multiLvlStrCache>
                <c:ptCount val="12"/>
                <c:lvl>
                  <c:pt idx="0">
                    <c:v>Fact.B</c:v>
                  </c:pt>
                  <c:pt idx="1">
                    <c:v>Fact.B</c:v>
                  </c:pt>
                  <c:pt idx="2">
                    <c:v>Fact.B</c:v>
                  </c:pt>
                  <c:pt idx="4">
                    <c:v>Fact.C</c:v>
                  </c:pt>
                  <c:pt idx="5">
                    <c:v>Fact.C</c:v>
                  </c:pt>
                  <c:pt idx="7">
                    <c:v>Fact.D</c:v>
                  </c:pt>
                  <c:pt idx="8">
                    <c:v>Fact.D</c:v>
                  </c:pt>
                  <c:pt idx="10">
                    <c:v>Fact.E</c:v>
                  </c:pt>
                  <c:pt idx="11">
                    <c:v>Fact.E</c:v>
                  </c:pt>
                </c:lvl>
                <c:lvl>
                  <c:pt idx="0">
                    <c:v>B1</c:v>
                  </c:pt>
                  <c:pt idx="1">
                    <c:v>B2</c:v>
                  </c:pt>
                  <c:pt idx="2">
                    <c:v>B3</c:v>
                  </c:pt>
                  <c:pt idx="3">
                    <c:v> </c:v>
                  </c:pt>
                  <c:pt idx="4">
                    <c:v>C1</c:v>
                  </c:pt>
                  <c:pt idx="5">
                    <c:v>C2</c:v>
                  </c:pt>
                  <c:pt idx="6">
                    <c:v> </c:v>
                  </c:pt>
                  <c:pt idx="7">
                    <c:v>D1</c:v>
                  </c:pt>
                  <c:pt idx="8">
                    <c:v>D2</c:v>
                  </c:pt>
                  <c:pt idx="9">
                    <c:v> </c:v>
                  </c:pt>
                  <c:pt idx="10">
                    <c:v>E1</c:v>
                  </c:pt>
                  <c:pt idx="11">
                    <c:v>E2</c:v>
                  </c:pt>
                </c:lvl>
              </c:multiLvlStrCache>
            </c:multiLvlStrRef>
          </c:cat>
          <c:val>
            <c:numRef>
              <c:f>'3n 3n 2n 2n 2n'!$Q$23:$Q$34</c:f>
              <c:numCache>
                <c:formatCode>0.00</c:formatCode>
                <c:ptCount val="12"/>
                <c:pt idx="0">
                  <c:v>38.382624999999997</c:v>
                </c:pt>
                <c:pt idx="1">
                  <c:v>36.606750000000005</c:v>
                </c:pt>
                <c:pt idx="2">
                  <c:v>42.058125000000004</c:v>
                </c:pt>
                <c:pt idx="4">
                  <c:v>38.971666666666671</c:v>
                </c:pt>
                <c:pt idx="5">
                  <c:v>39.06</c:v>
                </c:pt>
                <c:pt idx="7">
                  <c:v>39.377083333333331</c:v>
                </c:pt>
                <c:pt idx="8">
                  <c:v>38.654583333333335</c:v>
                </c:pt>
                <c:pt idx="10">
                  <c:v>36.1935</c:v>
                </c:pt>
                <c:pt idx="11">
                  <c:v>41.838166666666666</c:v>
                </c:pt>
              </c:numCache>
            </c:numRef>
          </c:val>
        </c:ser>
        <c:ser>
          <c:idx val="2"/>
          <c:order val="2"/>
          <c:tx>
            <c:strRef>
              <c:f>'3n 3n 2n 2n 2n'!$R$21:$R$22</c:f>
              <c:strCache>
                <c:ptCount val="1"/>
                <c:pt idx="0">
                  <c:v>Fact.A  A3</c:v>
                </c:pt>
              </c:strCache>
            </c:strRef>
          </c:tx>
          <c:spPr>
            <a:ln w="25400">
              <a:solidFill>
                <a:srgbClr val="3333CC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3333CC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'3n 3n 2n 2n 2n'!$N$23:$O$34</c:f>
              <c:multiLvlStrCache>
                <c:ptCount val="12"/>
                <c:lvl>
                  <c:pt idx="0">
                    <c:v>Fact.B</c:v>
                  </c:pt>
                  <c:pt idx="1">
                    <c:v>Fact.B</c:v>
                  </c:pt>
                  <c:pt idx="2">
                    <c:v>Fact.B</c:v>
                  </c:pt>
                  <c:pt idx="4">
                    <c:v>Fact.C</c:v>
                  </c:pt>
                  <c:pt idx="5">
                    <c:v>Fact.C</c:v>
                  </c:pt>
                  <c:pt idx="7">
                    <c:v>Fact.D</c:v>
                  </c:pt>
                  <c:pt idx="8">
                    <c:v>Fact.D</c:v>
                  </c:pt>
                  <c:pt idx="10">
                    <c:v>Fact.E</c:v>
                  </c:pt>
                  <c:pt idx="11">
                    <c:v>Fact.E</c:v>
                  </c:pt>
                </c:lvl>
                <c:lvl>
                  <c:pt idx="0">
                    <c:v>B1</c:v>
                  </c:pt>
                  <c:pt idx="1">
                    <c:v>B2</c:v>
                  </c:pt>
                  <c:pt idx="2">
                    <c:v>B3</c:v>
                  </c:pt>
                  <c:pt idx="3">
                    <c:v> </c:v>
                  </c:pt>
                  <c:pt idx="4">
                    <c:v>C1</c:v>
                  </c:pt>
                  <c:pt idx="5">
                    <c:v>C2</c:v>
                  </c:pt>
                  <c:pt idx="6">
                    <c:v> </c:v>
                  </c:pt>
                  <c:pt idx="7">
                    <c:v>D1</c:v>
                  </c:pt>
                  <c:pt idx="8">
                    <c:v>D2</c:v>
                  </c:pt>
                  <c:pt idx="9">
                    <c:v> </c:v>
                  </c:pt>
                  <c:pt idx="10">
                    <c:v>E1</c:v>
                  </c:pt>
                  <c:pt idx="11">
                    <c:v>E2</c:v>
                  </c:pt>
                </c:lvl>
              </c:multiLvlStrCache>
            </c:multiLvlStrRef>
          </c:cat>
          <c:val>
            <c:numRef>
              <c:f>'3n 3n 2n 2n 2n'!$R$23:$R$34</c:f>
              <c:numCache>
                <c:formatCode>0.00</c:formatCode>
                <c:ptCount val="12"/>
                <c:pt idx="0">
                  <c:v>36.224375000000002</c:v>
                </c:pt>
                <c:pt idx="1">
                  <c:v>33.432375</c:v>
                </c:pt>
                <c:pt idx="2">
                  <c:v>31.511125000000003</c:v>
                </c:pt>
                <c:pt idx="4">
                  <c:v>32.517499999999998</c:v>
                </c:pt>
                <c:pt idx="5">
                  <c:v>34.927749999999996</c:v>
                </c:pt>
                <c:pt idx="7">
                  <c:v>31.915333333333336</c:v>
                </c:pt>
                <c:pt idx="8">
                  <c:v>35.529916666666665</c:v>
                </c:pt>
                <c:pt idx="10">
                  <c:v>35.202666666666673</c:v>
                </c:pt>
                <c:pt idx="11">
                  <c:v>32.242583333333336</c:v>
                </c:pt>
              </c:numCache>
            </c:numRef>
          </c:val>
        </c:ser>
        <c:marker val="1"/>
        <c:axId val="59016704"/>
        <c:axId val="59018624"/>
      </c:lineChart>
      <c:catAx>
        <c:axId val="590167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018624"/>
        <c:crosses val="autoZero"/>
        <c:lblAlgn val="ctr"/>
        <c:lblOffset val="100"/>
        <c:tickLblSkip val="1"/>
        <c:tickMarkSkip val="1"/>
      </c:catAx>
      <c:valAx>
        <c:axId val="59018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070774102714772E-2"/>
              <c:y val="0.3696687727470691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01670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9574421108516"/>
          <c:y val="0.22985813088529874"/>
          <c:w val="0.13907288054021621"/>
          <c:h val="0.504740269433145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AB</a:t>
            </a:r>
          </a:p>
        </c:rich>
      </c:tx>
      <c:layout>
        <c:manualLayout>
          <c:xMode val="edge"/>
          <c:yMode val="edge"/>
          <c:x val="0.40599455040871929"/>
          <c:y val="4.494382022471910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626702997275222"/>
          <c:y val="0.21348462060220022"/>
          <c:w val="0.51901890428253428"/>
          <c:h val="0.48564442085188791"/>
        </c:manualLayout>
      </c:layout>
      <c:lineChart>
        <c:grouping val="standard"/>
        <c:ser>
          <c:idx val="0"/>
          <c:order val="0"/>
          <c:tx>
            <c:strRef>
              <c:f>'2n 3n'!$M$25:$M$26</c:f>
              <c:strCache>
                <c:ptCount val="1"/>
                <c:pt idx="0">
                  <c:v>Colonne Pol.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'2n 3n'!$K$27:$L$29</c:f>
              <c:multiLvlStrCache>
                <c:ptCount val="3"/>
                <c:lvl>
                  <c:pt idx="0">
                    <c:v>Elution</c:v>
                  </c:pt>
                  <c:pt idx="1">
                    <c:v>Elution</c:v>
                  </c:pt>
                  <c:pt idx="2">
                    <c:v>Elution</c:v>
                  </c:pt>
                </c:lvl>
                <c:lvl>
                  <c:pt idx="0">
                    <c:v>Iso.</c:v>
                  </c:pt>
                  <c:pt idx="1">
                    <c:v>Lin.</c:v>
                  </c:pt>
                  <c:pt idx="2">
                    <c:v>Nlin.</c:v>
                  </c:pt>
                </c:lvl>
              </c:multiLvlStrCache>
            </c:multiLvlStrRef>
          </c:cat>
          <c:val>
            <c:numRef>
              <c:f>'2n 3n'!$M$27:$M$29</c:f>
              <c:numCache>
                <c:formatCode>General</c:formatCode>
                <c:ptCount val="3"/>
                <c:pt idx="0">
                  <c:v>503</c:v>
                </c:pt>
                <c:pt idx="1">
                  <c:v>612</c:v>
                </c:pt>
                <c:pt idx="2">
                  <c:v>650</c:v>
                </c:pt>
              </c:numCache>
            </c:numRef>
          </c:val>
        </c:ser>
        <c:ser>
          <c:idx val="1"/>
          <c:order val="1"/>
          <c:tx>
            <c:strRef>
              <c:f>'2n 3n'!$N$25:$N$26</c:f>
              <c:strCache>
                <c:ptCount val="1"/>
                <c:pt idx="0">
                  <c:v>Colonne Npol.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'2n 3n'!$K$27:$L$29</c:f>
              <c:multiLvlStrCache>
                <c:ptCount val="3"/>
                <c:lvl>
                  <c:pt idx="0">
                    <c:v>Elution</c:v>
                  </c:pt>
                  <c:pt idx="1">
                    <c:v>Elution</c:v>
                  </c:pt>
                  <c:pt idx="2">
                    <c:v>Elution</c:v>
                  </c:pt>
                </c:lvl>
                <c:lvl>
                  <c:pt idx="0">
                    <c:v>Iso.</c:v>
                  </c:pt>
                  <c:pt idx="1">
                    <c:v>Lin.</c:v>
                  </c:pt>
                  <c:pt idx="2">
                    <c:v>Nlin.</c:v>
                  </c:pt>
                </c:lvl>
              </c:multiLvlStrCache>
            </c:multiLvlStrRef>
          </c:cat>
          <c:val>
            <c:numRef>
              <c:f>'2n 3n'!$N$27:$N$29</c:f>
              <c:numCache>
                <c:formatCode>General</c:formatCode>
                <c:ptCount val="3"/>
                <c:pt idx="0">
                  <c:v>550</c:v>
                </c:pt>
                <c:pt idx="1">
                  <c:v>645</c:v>
                </c:pt>
                <c:pt idx="2">
                  <c:v>669</c:v>
                </c:pt>
              </c:numCache>
            </c:numRef>
          </c:val>
        </c:ser>
        <c:marker val="1"/>
        <c:axId val="59121024"/>
        <c:axId val="59139584"/>
      </c:lineChart>
      <c:catAx>
        <c:axId val="5912102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139584"/>
        <c:crosses val="autoZero"/>
        <c:lblAlgn val="ctr"/>
        <c:lblOffset val="100"/>
        <c:tickLblSkip val="1"/>
        <c:tickMarkSkip val="1"/>
      </c:catAx>
      <c:valAx>
        <c:axId val="59139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1.6611847569686703E-2"/>
              <c:y val="0.3033720632481920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1210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046317983986063"/>
          <c:y val="0.35580720949207267"/>
          <c:w val="0.27455044187514538"/>
          <c:h val="0.352061891140012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B</a:t>
            </a:r>
          </a:p>
        </c:rich>
      </c:tx>
      <c:layout>
        <c:manualLayout>
          <c:xMode val="edge"/>
          <c:yMode val="edge"/>
          <c:x val="0.36670226947183648"/>
          <c:y val="3.80710659898478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729307897740712E-2"/>
          <c:y val="0.13676733363441829"/>
          <c:w val="0.73235078396511133"/>
          <c:h val="0.56307754236456165"/>
        </c:manualLayout>
      </c:layout>
      <c:lineChart>
        <c:grouping val="standard"/>
        <c:ser>
          <c:idx val="0"/>
          <c:order val="0"/>
          <c:tx>
            <c:strRef>
              <c:f>'3n 3n 2n 2n 2n'!$P$41:$P$42</c:f>
              <c:strCache>
                <c:ptCount val="1"/>
                <c:pt idx="0">
                  <c:v>Fact.B B1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'3n 3n 2n 2n 2n'!$N$43:$O$50</c:f>
              <c:multiLvlStrCache>
                <c:ptCount val="8"/>
                <c:lvl>
                  <c:pt idx="0">
                    <c:v>Fact.C</c:v>
                  </c:pt>
                  <c:pt idx="1">
                    <c:v>Fact.C</c:v>
                  </c:pt>
                  <c:pt idx="3">
                    <c:v>Fact.D</c:v>
                  </c:pt>
                  <c:pt idx="4">
                    <c:v>Fact.D</c:v>
                  </c:pt>
                  <c:pt idx="6">
                    <c:v>Fact.E</c:v>
                  </c:pt>
                  <c:pt idx="7">
                    <c:v>Fact.E</c:v>
                  </c:pt>
                </c:lvl>
                <c:lvl>
                  <c:pt idx="0">
                    <c:v>C1</c:v>
                  </c:pt>
                  <c:pt idx="1">
                    <c:v>C2</c:v>
                  </c:pt>
                  <c:pt idx="2">
                    <c:v> </c:v>
                  </c:pt>
                  <c:pt idx="3">
                    <c:v>D1</c:v>
                  </c:pt>
                  <c:pt idx="4">
                    <c:v>D2</c:v>
                  </c:pt>
                  <c:pt idx="5">
                    <c:v> </c:v>
                  </c:pt>
                  <c:pt idx="6">
                    <c:v>E1</c:v>
                  </c:pt>
                  <c:pt idx="7">
                    <c:v>E2</c:v>
                  </c:pt>
                </c:lvl>
              </c:multiLvlStrCache>
            </c:multiLvlStrRef>
          </c:cat>
          <c:val>
            <c:numRef>
              <c:f>'3n 3n 2n 2n 2n'!$P$43:$P$50</c:f>
              <c:numCache>
                <c:formatCode>0.00</c:formatCode>
                <c:ptCount val="8"/>
                <c:pt idx="0">
                  <c:v>37.554499999999997</c:v>
                </c:pt>
                <c:pt idx="1">
                  <c:v>34.620250000000006</c:v>
                </c:pt>
                <c:pt idx="3">
                  <c:v>37.939750000000004</c:v>
                </c:pt>
                <c:pt idx="4">
                  <c:v>34.234999999999999</c:v>
                </c:pt>
                <c:pt idx="6">
                  <c:v>36.241</c:v>
                </c:pt>
                <c:pt idx="7">
                  <c:v>35.933749999999996</c:v>
                </c:pt>
              </c:numCache>
            </c:numRef>
          </c:val>
        </c:ser>
        <c:ser>
          <c:idx val="1"/>
          <c:order val="1"/>
          <c:tx>
            <c:strRef>
              <c:f>'3n 3n 2n 2n 2n'!$Q$41:$Q$42</c:f>
              <c:strCache>
                <c:ptCount val="1"/>
                <c:pt idx="0">
                  <c:v>Fact.B B2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'3n 3n 2n 2n 2n'!$N$43:$O$50</c:f>
              <c:multiLvlStrCache>
                <c:ptCount val="8"/>
                <c:lvl>
                  <c:pt idx="0">
                    <c:v>Fact.C</c:v>
                  </c:pt>
                  <c:pt idx="1">
                    <c:v>Fact.C</c:v>
                  </c:pt>
                  <c:pt idx="3">
                    <c:v>Fact.D</c:v>
                  </c:pt>
                  <c:pt idx="4">
                    <c:v>Fact.D</c:v>
                  </c:pt>
                  <c:pt idx="6">
                    <c:v>Fact.E</c:v>
                  </c:pt>
                  <c:pt idx="7">
                    <c:v>Fact.E</c:v>
                  </c:pt>
                </c:lvl>
                <c:lvl>
                  <c:pt idx="0">
                    <c:v>C1</c:v>
                  </c:pt>
                  <c:pt idx="1">
                    <c:v>C2</c:v>
                  </c:pt>
                  <c:pt idx="2">
                    <c:v> </c:v>
                  </c:pt>
                  <c:pt idx="3">
                    <c:v>D1</c:v>
                  </c:pt>
                  <c:pt idx="4">
                    <c:v>D2</c:v>
                  </c:pt>
                  <c:pt idx="5">
                    <c:v> </c:v>
                  </c:pt>
                  <c:pt idx="6">
                    <c:v>E1</c:v>
                  </c:pt>
                  <c:pt idx="7">
                    <c:v>E2</c:v>
                  </c:pt>
                </c:lvl>
              </c:multiLvlStrCache>
            </c:multiLvlStrRef>
          </c:cat>
          <c:val>
            <c:numRef>
              <c:f>'3n 3n 2n 2n 2n'!$Q$43:$Q$50</c:f>
              <c:numCache>
                <c:formatCode>0.00</c:formatCode>
                <c:ptCount val="8"/>
                <c:pt idx="0">
                  <c:v>31.528000000000002</c:v>
                </c:pt>
                <c:pt idx="1">
                  <c:v>36.243166666666667</c:v>
                </c:pt>
                <c:pt idx="3">
                  <c:v>30.212083333333336</c:v>
                </c:pt>
                <c:pt idx="4">
                  <c:v>37.559083333333341</c:v>
                </c:pt>
                <c:pt idx="6">
                  <c:v>32.734833333333334</c:v>
                </c:pt>
                <c:pt idx="7">
                  <c:v>35.036333333333339</c:v>
                </c:pt>
              </c:numCache>
            </c:numRef>
          </c:val>
        </c:ser>
        <c:ser>
          <c:idx val="2"/>
          <c:order val="2"/>
          <c:tx>
            <c:strRef>
              <c:f>'3n 3n 2n 2n 2n'!$R$41:$R$42</c:f>
              <c:strCache>
                <c:ptCount val="1"/>
                <c:pt idx="0">
                  <c:v>Fact.B B3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3333CC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'3n 3n 2n 2n 2n'!$N$43:$O$50</c:f>
              <c:multiLvlStrCache>
                <c:ptCount val="8"/>
                <c:lvl>
                  <c:pt idx="0">
                    <c:v>Fact.C</c:v>
                  </c:pt>
                  <c:pt idx="1">
                    <c:v>Fact.C</c:v>
                  </c:pt>
                  <c:pt idx="3">
                    <c:v>Fact.D</c:v>
                  </c:pt>
                  <c:pt idx="4">
                    <c:v>Fact.D</c:v>
                  </c:pt>
                  <c:pt idx="6">
                    <c:v>Fact.E</c:v>
                  </c:pt>
                  <c:pt idx="7">
                    <c:v>Fact.E</c:v>
                  </c:pt>
                </c:lvl>
                <c:lvl>
                  <c:pt idx="0">
                    <c:v>C1</c:v>
                  </c:pt>
                  <c:pt idx="1">
                    <c:v>C2</c:v>
                  </c:pt>
                  <c:pt idx="2">
                    <c:v> </c:v>
                  </c:pt>
                  <c:pt idx="3">
                    <c:v>D1</c:v>
                  </c:pt>
                  <c:pt idx="4">
                    <c:v>D2</c:v>
                  </c:pt>
                  <c:pt idx="5">
                    <c:v> </c:v>
                  </c:pt>
                  <c:pt idx="6">
                    <c:v>E1</c:v>
                  </c:pt>
                  <c:pt idx="7">
                    <c:v>E2</c:v>
                  </c:pt>
                </c:lvl>
              </c:multiLvlStrCache>
            </c:multiLvlStrRef>
          </c:cat>
          <c:val>
            <c:numRef>
              <c:f>'3n 3n 2n 2n 2n'!$R$43:$R$50</c:f>
              <c:numCache>
                <c:formatCode>0.00</c:formatCode>
                <c:ptCount val="8"/>
                <c:pt idx="0">
                  <c:v>34.2395</c:v>
                </c:pt>
                <c:pt idx="1">
                  <c:v>38.520416666666669</c:v>
                </c:pt>
                <c:pt idx="3">
                  <c:v>33.889000000000003</c:v>
                </c:pt>
                <c:pt idx="4">
                  <c:v>38.870916666666666</c:v>
                </c:pt>
                <c:pt idx="6">
                  <c:v>35.871750000000006</c:v>
                </c:pt>
                <c:pt idx="7">
                  <c:v>36.88816666666667</c:v>
                </c:pt>
              </c:numCache>
            </c:numRef>
          </c:val>
        </c:ser>
        <c:marker val="1"/>
        <c:axId val="59065088"/>
        <c:axId val="59067008"/>
      </c:lineChart>
      <c:catAx>
        <c:axId val="5906508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067008"/>
        <c:crosses val="autoZero"/>
        <c:lblAlgn val="ctr"/>
        <c:lblOffset val="100"/>
        <c:tickLblSkip val="1"/>
        <c:tickMarkSkip val="1"/>
      </c:catAx>
      <c:valAx>
        <c:axId val="590670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0021058093290391E-2"/>
              <c:y val="0.34517866421519688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0650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193996649472613"/>
          <c:y val="0.22081284890150155"/>
          <c:w val="0.14541634582743518"/>
          <c:h val="0.484773239005022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C</a:t>
            </a:r>
          </a:p>
        </c:rich>
      </c:tx>
      <c:layout>
        <c:manualLayout>
          <c:xMode val="edge"/>
          <c:yMode val="edge"/>
          <c:x val="0.34432254657192241"/>
          <c:y val="3.80434782608696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666064268604235"/>
          <c:y val="0.14566549238735668"/>
          <c:w val="0.62421328681154509"/>
          <c:h val="0.54633086440520551"/>
        </c:manualLayout>
      </c:layout>
      <c:lineChart>
        <c:grouping val="standard"/>
        <c:ser>
          <c:idx val="0"/>
          <c:order val="0"/>
          <c:tx>
            <c:strRef>
              <c:f>'3n 3n 2n 2n 2n'!$P$56:$P$57</c:f>
              <c:strCache>
                <c:ptCount val="1"/>
                <c:pt idx="0">
                  <c:v>Fact.C C1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'3n 3n 2n 2n 2n'!$N$58:$O$62</c:f>
              <c:multiLvlStrCache>
                <c:ptCount val="5"/>
                <c:lvl>
                  <c:pt idx="0">
                    <c:v>Fact.D</c:v>
                  </c:pt>
                  <c:pt idx="1">
                    <c:v>Fact.D</c:v>
                  </c:pt>
                  <c:pt idx="3">
                    <c:v>Fact.E</c:v>
                  </c:pt>
                  <c:pt idx="4">
                    <c:v>Fact.E</c:v>
                  </c:pt>
                </c:lvl>
                <c:lvl>
                  <c:pt idx="0">
                    <c:v>D1</c:v>
                  </c:pt>
                  <c:pt idx="1">
                    <c:v>D2</c:v>
                  </c:pt>
                  <c:pt idx="2">
                    <c:v> </c:v>
                  </c:pt>
                  <c:pt idx="3">
                    <c:v>E1</c:v>
                  </c:pt>
                  <c:pt idx="4">
                    <c:v>E2</c:v>
                  </c:pt>
                </c:lvl>
              </c:multiLvlStrCache>
            </c:multiLvlStrRef>
          </c:cat>
          <c:val>
            <c:numRef>
              <c:f>'3n 3n 2n 2n 2n'!$P$58:$P$62</c:f>
              <c:numCache>
                <c:formatCode>General</c:formatCode>
                <c:ptCount val="5"/>
                <c:pt idx="0">
                  <c:v>29.38622222222223</c:v>
                </c:pt>
                <c:pt idx="1">
                  <c:v>39.495111111111115</c:v>
                </c:pt>
                <c:pt idx="3">
                  <c:v>33.888333333333335</c:v>
                </c:pt>
                <c:pt idx="4">
                  <c:v>34.992999999999995</c:v>
                </c:pt>
              </c:numCache>
            </c:numRef>
          </c:val>
        </c:ser>
        <c:ser>
          <c:idx val="1"/>
          <c:order val="1"/>
          <c:tx>
            <c:strRef>
              <c:f>'3n 3n 2n 2n 2n'!$Q$56:$Q$57</c:f>
              <c:strCache>
                <c:ptCount val="1"/>
                <c:pt idx="0">
                  <c:v>Fact.C C2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'3n 3n 2n 2n 2n'!$N$58:$O$62</c:f>
              <c:multiLvlStrCache>
                <c:ptCount val="5"/>
                <c:lvl>
                  <c:pt idx="0">
                    <c:v>Fact.D</c:v>
                  </c:pt>
                  <c:pt idx="1">
                    <c:v>Fact.D</c:v>
                  </c:pt>
                  <c:pt idx="3">
                    <c:v>Fact.E</c:v>
                  </c:pt>
                  <c:pt idx="4">
                    <c:v>Fact.E</c:v>
                  </c:pt>
                </c:lvl>
                <c:lvl>
                  <c:pt idx="0">
                    <c:v>D1</c:v>
                  </c:pt>
                  <c:pt idx="1">
                    <c:v>D2</c:v>
                  </c:pt>
                  <c:pt idx="2">
                    <c:v> </c:v>
                  </c:pt>
                  <c:pt idx="3">
                    <c:v>E1</c:v>
                  </c:pt>
                  <c:pt idx="4">
                    <c:v>E2</c:v>
                  </c:pt>
                </c:lvl>
              </c:multiLvlStrCache>
            </c:multiLvlStrRef>
          </c:cat>
          <c:val>
            <c:numRef>
              <c:f>'3n 3n 2n 2n 2n'!$Q$58:$Q$62</c:f>
              <c:numCache>
                <c:formatCode>General</c:formatCode>
                <c:ptCount val="5"/>
                <c:pt idx="0">
                  <c:v>38.640999999999991</c:v>
                </c:pt>
                <c:pt idx="1">
                  <c:v>34.281555555555556</c:v>
                </c:pt>
                <c:pt idx="3">
                  <c:v>36.010055555555553</c:v>
                </c:pt>
                <c:pt idx="4">
                  <c:v>36.912499999999994</c:v>
                </c:pt>
              </c:numCache>
            </c:numRef>
          </c:val>
        </c:ser>
        <c:marker val="1"/>
        <c:axId val="59096064"/>
        <c:axId val="59110528"/>
      </c:lineChart>
      <c:catAx>
        <c:axId val="5909606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110528"/>
        <c:crosses val="autoZero"/>
        <c:lblAlgn val="ctr"/>
        <c:lblOffset val="100"/>
        <c:tickLblSkip val="1"/>
        <c:tickMarkSkip val="1"/>
      </c:catAx>
      <c:valAx>
        <c:axId val="591105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1978106395237177E-2"/>
              <c:y val="0.33695687835216426"/>
            </c:manualLayout>
          </c:layout>
          <c:spPr>
            <a:noFill/>
            <a:ln w="25400">
              <a:noFill/>
            </a:ln>
          </c:spPr>
        </c:title>
        <c:numFmt formatCode="#,##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0960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058014851802049"/>
          <c:y val="0.24184818269998901"/>
          <c:w val="0.20598953332053024"/>
          <c:h val="0.4048916609608592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D E</a:t>
            </a:r>
          </a:p>
        </c:rich>
      </c:tx>
      <c:layout>
        <c:manualLayout>
          <c:xMode val="edge"/>
          <c:yMode val="edge"/>
          <c:x val="0.40259797070820691"/>
          <c:y val="4.333333333333352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961990829262575"/>
          <c:y val="0.17435936818910391"/>
          <c:w val="0.62527289911525241"/>
          <c:h val="0.55583347348405565"/>
        </c:manualLayout>
      </c:layout>
      <c:lineChart>
        <c:grouping val="standard"/>
        <c:ser>
          <c:idx val="0"/>
          <c:order val="0"/>
          <c:tx>
            <c:strRef>
              <c:f>'3n 3n 2n 2n 2n'!$P$80:$P$81</c:f>
              <c:strCache>
                <c:ptCount val="1"/>
                <c:pt idx="0">
                  <c:v>Fact.D D1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'3n 3n 2n 2n 2n'!$N$82:$O$83</c:f>
              <c:multiLvlStrCache>
                <c:ptCount val="2"/>
                <c:lvl>
                  <c:pt idx="0">
                    <c:v>Fact.E</c:v>
                  </c:pt>
                  <c:pt idx="1">
                    <c:v>Fact.E</c:v>
                  </c:pt>
                </c:lvl>
                <c:lvl>
                  <c:pt idx="0">
                    <c:v>E1</c:v>
                  </c:pt>
                  <c:pt idx="1">
                    <c:v>E2</c:v>
                  </c:pt>
                </c:lvl>
              </c:multiLvlStrCache>
            </c:multiLvlStrRef>
          </c:cat>
          <c:val>
            <c:numRef>
              <c:f>'3n 3n 2n 2n 2n'!$P$82:$P$83</c:f>
              <c:numCache>
                <c:formatCode>0.00</c:formatCode>
                <c:ptCount val="2"/>
                <c:pt idx="0">
                  <c:v>34.990944444444452</c:v>
                </c:pt>
                <c:pt idx="1">
                  <c:v>33.036277777777769</c:v>
                </c:pt>
              </c:numCache>
            </c:numRef>
          </c:val>
        </c:ser>
        <c:ser>
          <c:idx val="1"/>
          <c:order val="1"/>
          <c:tx>
            <c:strRef>
              <c:f>'3n 3n 2n 2n 2n'!$Q$80:$Q$81</c:f>
              <c:strCache>
                <c:ptCount val="1"/>
                <c:pt idx="0">
                  <c:v>Fact.D D2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'3n 3n 2n 2n 2n'!$N$82:$O$83</c:f>
              <c:multiLvlStrCache>
                <c:ptCount val="2"/>
                <c:lvl>
                  <c:pt idx="0">
                    <c:v>Fact.E</c:v>
                  </c:pt>
                  <c:pt idx="1">
                    <c:v>Fact.E</c:v>
                  </c:pt>
                </c:lvl>
                <c:lvl>
                  <c:pt idx="0">
                    <c:v>E1</c:v>
                  </c:pt>
                  <c:pt idx="1">
                    <c:v>E2</c:v>
                  </c:pt>
                </c:lvl>
              </c:multiLvlStrCache>
            </c:multiLvlStrRef>
          </c:cat>
          <c:val>
            <c:numRef>
              <c:f>'3n 3n 2n 2n 2n'!$Q$82:$Q$83</c:f>
              <c:numCache>
                <c:formatCode>0.00</c:formatCode>
                <c:ptCount val="2"/>
                <c:pt idx="0">
                  <c:v>34.907444444444451</c:v>
                </c:pt>
                <c:pt idx="1">
                  <c:v>38.869222222222227</c:v>
                </c:pt>
              </c:numCache>
            </c:numRef>
          </c:val>
        </c:ser>
        <c:marker val="1"/>
        <c:axId val="59135488"/>
        <c:axId val="59137408"/>
      </c:lineChart>
      <c:catAx>
        <c:axId val="59135488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137408"/>
        <c:crosses val="autoZero"/>
        <c:lblAlgn val="ctr"/>
        <c:lblOffset val="100"/>
        <c:tickLblSkip val="1"/>
        <c:tickMarkSkip val="1"/>
      </c:catAx>
      <c:valAx>
        <c:axId val="591374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5974025974026035E-2"/>
              <c:y val="0.33000043744531937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91354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942393564440861"/>
          <c:y val="0.30000043744531935"/>
          <c:w val="0.18470437407445323"/>
          <c:h val="0.3800004374453193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Graphique des effets moyens</a:t>
            </a:r>
          </a:p>
        </c:rich>
      </c:tx>
      <c:layout>
        <c:manualLayout>
          <c:xMode val="edge"/>
          <c:yMode val="edge"/>
          <c:x val="0.34056172665916762"/>
          <c:y val="3.631976725800840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862263367732102"/>
          <c:y val="0.14394063992653683"/>
          <c:w val="0.64158263160959783"/>
          <c:h val="0.53402616448400853"/>
        </c:manualLayout>
      </c:layout>
      <c:lineChart>
        <c:grouping val="standard"/>
        <c:ser>
          <c:idx val="0"/>
          <c:order val="0"/>
          <c:tx>
            <c:strRef>
              <c:f>'3n 3n'!$K$11</c:f>
              <c:strCache>
                <c:ptCount val="1"/>
                <c:pt idx="0">
                  <c:v>Facteurs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'3n 3n'!$L$9:$R$10</c:f>
              <c:multiLvlStrCache>
                <c:ptCount val="7"/>
                <c:lvl>
                  <c:pt idx="0">
                    <c:v>Temp.</c:v>
                  </c:pt>
                  <c:pt idx="1">
                    <c:v>Temp.</c:v>
                  </c:pt>
                  <c:pt idx="2">
                    <c:v>Temp.</c:v>
                  </c:pt>
                  <c:pt idx="4">
                    <c:v>Purge</c:v>
                  </c:pt>
                  <c:pt idx="5">
                    <c:v>Purge</c:v>
                  </c:pt>
                  <c:pt idx="6">
                    <c:v>Purge</c:v>
                  </c:pt>
                </c:lvl>
                <c:lvl>
                  <c:pt idx="0">
                    <c:v>5°C</c:v>
                  </c:pt>
                  <c:pt idx="1">
                    <c:v>15 °C</c:v>
                  </c:pt>
                  <c:pt idx="2">
                    <c:v>25°C</c:v>
                  </c:pt>
                  <c:pt idx="3">
                    <c:v> </c:v>
                  </c:pt>
                  <c:pt idx="4">
                    <c:v>10 mn</c:v>
                  </c:pt>
                  <c:pt idx="5">
                    <c:v>25 mn</c:v>
                  </c:pt>
                  <c:pt idx="6">
                    <c:v>40 mn</c:v>
                  </c:pt>
                </c:lvl>
              </c:multiLvlStrCache>
            </c:multiLvlStrRef>
          </c:cat>
          <c:val>
            <c:numRef>
              <c:f>'3n 3n'!$L$11:$R$11</c:f>
              <c:numCache>
                <c:formatCode>0.000</c:formatCode>
                <c:ptCount val="7"/>
                <c:pt idx="0">
                  <c:v>14.166666666666666</c:v>
                </c:pt>
                <c:pt idx="1">
                  <c:v>24.833333333333332</c:v>
                </c:pt>
                <c:pt idx="2">
                  <c:v>38</c:v>
                </c:pt>
                <c:pt idx="4">
                  <c:v>21.5</c:v>
                </c:pt>
                <c:pt idx="5">
                  <c:v>24.5</c:v>
                </c:pt>
                <c:pt idx="6">
                  <c:v>31</c:v>
                </c:pt>
              </c:numCache>
            </c:numRef>
          </c:val>
        </c:ser>
        <c:ser>
          <c:idx val="1"/>
          <c:order val="1"/>
          <c:tx>
            <c:strRef>
              <c:f>'3n 3n'!$K$12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none"/>
          </c:marker>
          <c:cat>
            <c:multiLvlStrRef>
              <c:f>'3n 3n'!$L$9:$R$10</c:f>
              <c:multiLvlStrCache>
                <c:ptCount val="7"/>
                <c:lvl>
                  <c:pt idx="0">
                    <c:v>Temp.</c:v>
                  </c:pt>
                  <c:pt idx="1">
                    <c:v>Temp.</c:v>
                  </c:pt>
                  <c:pt idx="2">
                    <c:v>Temp.</c:v>
                  </c:pt>
                  <c:pt idx="4">
                    <c:v>Purge</c:v>
                  </c:pt>
                  <c:pt idx="5">
                    <c:v>Purge</c:v>
                  </c:pt>
                  <c:pt idx="6">
                    <c:v>Purge</c:v>
                  </c:pt>
                </c:lvl>
                <c:lvl>
                  <c:pt idx="0">
                    <c:v>5°C</c:v>
                  </c:pt>
                  <c:pt idx="1">
                    <c:v>15 °C</c:v>
                  </c:pt>
                  <c:pt idx="2">
                    <c:v>25°C</c:v>
                  </c:pt>
                  <c:pt idx="3">
                    <c:v> </c:v>
                  </c:pt>
                  <c:pt idx="4">
                    <c:v>10 mn</c:v>
                  </c:pt>
                  <c:pt idx="5">
                    <c:v>25 mn</c:v>
                  </c:pt>
                  <c:pt idx="6">
                    <c:v>40 mn</c:v>
                  </c:pt>
                </c:lvl>
              </c:multiLvlStrCache>
            </c:multiLvlStrRef>
          </c:cat>
          <c:val>
            <c:numRef>
              <c:f>'3n 3n'!$L$12:$R$12</c:f>
              <c:numCache>
                <c:formatCode>0.000</c:formatCode>
                <c:ptCount val="7"/>
                <c:pt idx="0">
                  <c:v>25.666666666666668</c:v>
                </c:pt>
                <c:pt idx="1">
                  <c:v>25.666666666666668</c:v>
                </c:pt>
                <c:pt idx="2">
                  <c:v>25.666666666666668</c:v>
                </c:pt>
                <c:pt idx="3">
                  <c:v>25.666666666666668</c:v>
                </c:pt>
                <c:pt idx="4">
                  <c:v>25.666666666666668</c:v>
                </c:pt>
                <c:pt idx="5">
                  <c:v>25.666666666666668</c:v>
                </c:pt>
                <c:pt idx="6">
                  <c:v>25.666666666666668</c:v>
                </c:pt>
              </c:numCache>
            </c:numRef>
          </c:val>
        </c:ser>
        <c:marker val="1"/>
        <c:axId val="66764800"/>
        <c:axId val="66766720"/>
      </c:lineChart>
      <c:catAx>
        <c:axId val="6676480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Facteurs</a:t>
                </a:r>
              </a:p>
            </c:rich>
          </c:tx>
          <c:layout>
            <c:manualLayout>
              <c:xMode val="edge"/>
              <c:yMode val="edge"/>
              <c:x val="0.39413332262038675"/>
              <c:y val="0.886199285330297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766720"/>
        <c:crosses val="autoZero"/>
        <c:lblAlgn val="ctr"/>
        <c:lblOffset val="100"/>
        <c:tickLblSkip val="1"/>
        <c:tickMarkSkip val="1"/>
      </c:catAx>
      <c:valAx>
        <c:axId val="667667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2959183673469462E-2"/>
              <c:y val="0.35835372988015141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7648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8174982591466"/>
          <c:y val="0.22276033266925974"/>
          <c:w val="0.2002554368203982"/>
          <c:h val="0.1888622205356862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AB</a:t>
            </a:r>
          </a:p>
        </c:rich>
      </c:tx>
      <c:layout>
        <c:manualLayout>
          <c:xMode val="edge"/>
          <c:yMode val="edge"/>
          <c:x val="0.40680289963754679"/>
          <c:y val="3.69459652924220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59216212005679E-2"/>
          <c:y val="0.22167514344782299"/>
          <c:w val="0.54713250664026258"/>
          <c:h val="0.45812862979216834"/>
        </c:manualLayout>
      </c:layout>
      <c:lineChart>
        <c:grouping val="standard"/>
        <c:ser>
          <c:idx val="0"/>
          <c:order val="0"/>
          <c:tx>
            <c:strRef>
              <c:f>'3n 3n'!$M$23:$M$24</c:f>
              <c:strCache>
                <c:ptCount val="1"/>
                <c:pt idx="0">
                  <c:v>Temp. 5°C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'3n 3n'!$K$25:$L$27</c:f>
              <c:multiLvlStrCache>
                <c:ptCount val="3"/>
                <c:lvl>
                  <c:pt idx="0">
                    <c:v>Purge</c:v>
                  </c:pt>
                  <c:pt idx="1">
                    <c:v>Purge</c:v>
                  </c:pt>
                  <c:pt idx="2">
                    <c:v>Purge</c:v>
                  </c:pt>
                </c:lvl>
                <c:lvl>
                  <c:pt idx="0">
                    <c:v>10 mn</c:v>
                  </c:pt>
                  <c:pt idx="1">
                    <c:v>25 mn</c:v>
                  </c:pt>
                  <c:pt idx="2">
                    <c:v>40 mn</c:v>
                  </c:pt>
                </c:lvl>
              </c:multiLvlStrCache>
            </c:multiLvlStrRef>
          </c:cat>
          <c:val>
            <c:numRef>
              <c:f>'3n 3n'!$M$25:$M$27</c:f>
              <c:numCache>
                <c:formatCode>General</c:formatCode>
                <c:ptCount val="3"/>
                <c:pt idx="0">
                  <c:v>10.5</c:v>
                </c:pt>
                <c:pt idx="1">
                  <c:v>15</c:v>
                </c:pt>
                <c:pt idx="2">
                  <c:v>17</c:v>
                </c:pt>
              </c:numCache>
            </c:numRef>
          </c:val>
        </c:ser>
        <c:ser>
          <c:idx val="1"/>
          <c:order val="1"/>
          <c:tx>
            <c:strRef>
              <c:f>'3n 3n'!$N$23:$N$24</c:f>
              <c:strCache>
                <c:ptCount val="1"/>
                <c:pt idx="0">
                  <c:v>Temp. 15 °C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'3n 3n'!$K$25:$L$27</c:f>
              <c:multiLvlStrCache>
                <c:ptCount val="3"/>
                <c:lvl>
                  <c:pt idx="0">
                    <c:v>Purge</c:v>
                  </c:pt>
                  <c:pt idx="1">
                    <c:v>Purge</c:v>
                  </c:pt>
                  <c:pt idx="2">
                    <c:v>Purge</c:v>
                  </c:pt>
                </c:lvl>
                <c:lvl>
                  <c:pt idx="0">
                    <c:v>10 mn</c:v>
                  </c:pt>
                  <c:pt idx="1">
                    <c:v>25 mn</c:v>
                  </c:pt>
                  <c:pt idx="2">
                    <c:v>40 mn</c:v>
                  </c:pt>
                </c:lvl>
              </c:multiLvlStrCache>
            </c:multiLvlStrRef>
          </c:cat>
          <c:val>
            <c:numRef>
              <c:f>'3n 3n'!$N$25:$N$27</c:f>
              <c:numCache>
                <c:formatCode>General</c:formatCode>
                <c:ptCount val="3"/>
                <c:pt idx="0">
                  <c:v>22</c:v>
                </c:pt>
                <c:pt idx="1">
                  <c:v>24.5</c:v>
                </c:pt>
                <c:pt idx="2">
                  <c:v>28</c:v>
                </c:pt>
              </c:numCache>
            </c:numRef>
          </c:val>
        </c:ser>
        <c:ser>
          <c:idx val="2"/>
          <c:order val="2"/>
          <c:tx>
            <c:strRef>
              <c:f>'3n 3n'!$O$23:$O$24</c:f>
              <c:strCache>
                <c:ptCount val="1"/>
                <c:pt idx="0">
                  <c:v>Temp. 25°C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3333CC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'3n 3n'!$K$25:$L$27</c:f>
              <c:multiLvlStrCache>
                <c:ptCount val="3"/>
                <c:lvl>
                  <c:pt idx="0">
                    <c:v>Purge</c:v>
                  </c:pt>
                  <c:pt idx="1">
                    <c:v>Purge</c:v>
                  </c:pt>
                  <c:pt idx="2">
                    <c:v>Purge</c:v>
                  </c:pt>
                </c:lvl>
                <c:lvl>
                  <c:pt idx="0">
                    <c:v>10 mn</c:v>
                  </c:pt>
                  <c:pt idx="1">
                    <c:v>25 mn</c:v>
                  </c:pt>
                  <c:pt idx="2">
                    <c:v>40 mn</c:v>
                  </c:pt>
                </c:lvl>
              </c:multiLvlStrCache>
            </c:multiLvlStrRef>
          </c:cat>
          <c:val>
            <c:numRef>
              <c:f>'3n 3n'!$O$25:$O$27</c:f>
              <c:numCache>
                <c:formatCode>General</c:formatCode>
                <c:ptCount val="3"/>
                <c:pt idx="0">
                  <c:v>32</c:v>
                </c:pt>
                <c:pt idx="1">
                  <c:v>34</c:v>
                </c:pt>
                <c:pt idx="2">
                  <c:v>48</c:v>
                </c:pt>
              </c:numCache>
            </c:numRef>
          </c:val>
        </c:ser>
        <c:marker val="1"/>
        <c:axId val="87535616"/>
        <c:axId val="87537920"/>
      </c:lineChart>
      <c:catAx>
        <c:axId val="875356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Facteur B</a:t>
                </a:r>
              </a:p>
            </c:rich>
          </c:tx>
          <c:layout>
            <c:manualLayout>
              <c:xMode val="edge"/>
              <c:yMode val="edge"/>
              <c:x val="0.37823147106611676"/>
              <c:y val="0.88423745864690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537920"/>
        <c:crosses val="autoZero"/>
        <c:lblAlgn val="ctr"/>
        <c:lblOffset val="100"/>
        <c:tickLblSkip val="1"/>
        <c:tickMarkSkip val="1"/>
      </c:catAx>
      <c:valAx>
        <c:axId val="875379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4489795918367412E-2"/>
              <c:y val="0.35960649267735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5356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61221258270851"/>
          <c:y val="0.26847330508747907"/>
          <c:w val="0.29571467301617238"/>
          <c:h val="0.376847749682395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Graphique des effets moyens</a:t>
            </a:r>
          </a:p>
        </c:rich>
      </c:tx>
      <c:layout>
        <c:manualLayout>
          <c:xMode val="edge"/>
          <c:yMode val="edge"/>
          <c:x val="0.35900399199816985"/>
          <c:y val="3.703707268865247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8527923392239883E-2"/>
          <c:y val="0.16023429528521649"/>
          <c:w val="0.72933313407588563"/>
          <c:h val="0.56681490608294949"/>
        </c:manualLayout>
      </c:layout>
      <c:lineChart>
        <c:grouping val="standard"/>
        <c:ser>
          <c:idx val="0"/>
          <c:order val="0"/>
          <c:tx>
            <c:strRef>
              <c:f>'2n 3n 2n'!$L$13</c:f>
              <c:strCache>
                <c:ptCount val="1"/>
                <c:pt idx="0">
                  <c:v>Facteurs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'2n 3n 2n'!$M$11:$U$12</c:f>
              <c:multiLvlStrCache>
                <c:ptCount val="9"/>
                <c:lvl>
                  <c:pt idx="0">
                    <c:v>Temp.</c:v>
                  </c:pt>
                  <c:pt idx="1">
                    <c:v>Temp.</c:v>
                  </c:pt>
                  <c:pt idx="3">
                    <c:v>Purge</c:v>
                  </c:pt>
                  <c:pt idx="4">
                    <c:v>Purge</c:v>
                  </c:pt>
                  <c:pt idx="5">
                    <c:v>Purge</c:v>
                  </c:pt>
                  <c:pt idx="7">
                    <c:v>Séchage</c:v>
                  </c:pt>
                  <c:pt idx="8">
                    <c:v>Séchage</c:v>
                  </c:pt>
                </c:lvl>
                <c:lvl>
                  <c:pt idx="0">
                    <c:v>5°C</c:v>
                  </c:pt>
                  <c:pt idx="1">
                    <c:v>30°C</c:v>
                  </c:pt>
                  <c:pt idx="2">
                    <c:v> </c:v>
                  </c:pt>
                  <c:pt idx="3">
                    <c:v>10mn</c:v>
                  </c:pt>
                  <c:pt idx="4">
                    <c:v>25mn</c:v>
                  </c:pt>
                  <c:pt idx="5">
                    <c:v>40mn</c:v>
                  </c:pt>
                  <c:pt idx="6">
                    <c:v> </c:v>
                  </c:pt>
                  <c:pt idx="7">
                    <c:v>5mn</c:v>
                  </c:pt>
                  <c:pt idx="8">
                    <c:v>15mn</c:v>
                  </c:pt>
                </c:lvl>
              </c:multiLvlStrCache>
            </c:multiLvlStrRef>
          </c:cat>
          <c:val>
            <c:numRef>
              <c:f>'2n 3n 2n'!$M$13:$U$13</c:f>
              <c:numCache>
                <c:formatCode>0.000</c:formatCode>
                <c:ptCount val="9"/>
                <c:pt idx="0">
                  <c:v>2.4494100266941667</c:v>
                </c:pt>
                <c:pt idx="1">
                  <c:v>4.2421155369686394</c:v>
                </c:pt>
                <c:pt idx="3">
                  <c:v>3.8087651070552173</c:v>
                </c:pt>
                <c:pt idx="4">
                  <c:v>3.3220546601883565</c:v>
                </c:pt>
                <c:pt idx="5">
                  <c:v>2.9064685782506356</c:v>
                </c:pt>
                <c:pt idx="7">
                  <c:v>3.2715346020821223</c:v>
                </c:pt>
                <c:pt idx="8">
                  <c:v>3.4199909615806838</c:v>
                </c:pt>
              </c:numCache>
            </c:numRef>
          </c:val>
        </c:ser>
        <c:ser>
          <c:idx val="1"/>
          <c:order val="1"/>
          <c:tx>
            <c:strRef>
              <c:f>'2n 3n 2n'!$L$14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multiLvlStrRef>
              <c:f>'2n 3n 2n'!$M$11:$U$12</c:f>
              <c:multiLvlStrCache>
                <c:ptCount val="9"/>
                <c:lvl>
                  <c:pt idx="0">
                    <c:v>Temp.</c:v>
                  </c:pt>
                  <c:pt idx="1">
                    <c:v>Temp.</c:v>
                  </c:pt>
                  <c:pt idx="3">
                    <c:v>Purge</c:v>
                  </c:pt>
                  <c:pt idx="4">
                    <c:v>Purge</c:v>
                  </c:pt>
                  <c:pt idx="5">
                    <c:v>Purge</c:v>
                  </c:pt>
                  <c:pt idx="7">
                    <c:v>Séchage</c:v>
                  </c:pt>
                  <c:pt idx="8">
                    <c:v>Séchage</c:v>
                  </c:pt>
                </c:lvl>
                <c:lvl>
                  <c:pt idx="0">
                    <c:v>5°C</c:v>
                  </c:pt>
                  <c:pt idx="1">
                    <c:v>30°C</c:v>
                  </c:pt>
                  <c:pt idx="2">
                    <c:v> </c:v>
                  </c:pt>
                  <c:pt idx="3">
                    <c:v>10mn</c:v>
                  </c:pt>
                  <c:pt idx="4">
                    <c:v>25mn</c:v>
                  </c:pt>
                  <c:pt idx="5">
                    <c:v>40mn</c:v>
                  </c:pt>
                  <c:pt idx="6">
                    <c:v> </c:v>
                  </c:pt>
                  <c:pt idx="7">
                    <c:v>5mn</c:v>
                  </c:pt>
                  <c:pt idx="8">
                    <c:v>15mn</c:v>
                  </c:pt>
                </c:lvl>
              </c:multiLvlStrCache>
            </c:multiLvlStrRef>
          </c:cat>
          <c:val>
            <c:numRef>
              <c:f>'2n 3n 2n'!$M$14:$U$14</c:f>
              <c:numCache>
                <c:formatCode>0.000</c:formatCode>
                <c:ptCount val="9"/>
                <c:pt idx="0">
                  <c:v>3.3457627818314033</c:v>
                </c:pt>
                <c:pt idx="1">
                  <c:v>3.3457627818314033</c:v>
                </c:pt>
                <c:pt idx="2">
                  <c:v>3.3457627818314033</c:v>
                </c:pt>
                <c:pt idx="3">
                  <c:v>3.3457627818314033</c:v>
                </c:pt>
                <c:pt idx="4">
                  <c:v>3.3457627818314033</c:v>
                </c:pt>
                <c:pt idx="5">
                  <c:v>3.3457627818314033</c:v>
                </c:pt>
                <c:pt idx="6">
                  <c:v>3.3457627818314033</c:v>
                </c:pt>
                <c:pt idx="7">
                  <c:v>3.3457627818314033</c:v>
                </c:pt>
                <c:pt idx="8">
                  <c:v>3.3457627818314033</c:v>
                </c:pt>
              </c:numCache>
            </c:numRef>
          </c:val>
        </c:ser>
        <c:marker val="1"/>
        <c:axId val="89050496"/>
        <c:axId val="90404736"/>
      </c:lineChart>
      <c:catAx>
        <c:axId val="8905049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404736"/>
        <c:crosses val="autoZero"/>
        <c:lblAlgn val="ctr"/>
        <c:lblOffset val="100"/>
        <c:tickLblSkip val="1"/>
        <c:tickMarkSkip val="1"/>
      </c:catAx>
      <c:valAx>
        <c:axId val="90404736"/>
        <c:scaling>
          <c:orientation val="minMax"/>
          <c:min val="1.5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</a:t>
                </a:r>
              </a:p>
            </c:rich>
          </c:tx>
          <c:layout>
            <c:manualLayout>
              <c:xMode val="edge"/>
              <c:yMode val="edge"/>
              <c:x val="1.094752736881845E-2"/>
              <c:y val="0.36049408835577823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9050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598110117322545"/>
          <c:y val="0.42962991484255275"/>
          <c:w val="0.14156315115197293"/>
          <c:h val="0.11604932329669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A</a:t>
            </a:r>
          </a:p>
        </c:rich>
      </c:tx>
      <c:layout>
        <c:manualLayout>
          <c:xMode val="edge"/>
          <c:yMode val="edge"/>
          <c:x val="0.33419689119171087"/>
          <c:y val="3.826544582690524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92229638328725"/>
          <c:y val="0.15663614567263104"/>
          <c:w val="0.57167547223695592"/>
          <c:h val="0.54132121843548431"/>
        </c:manualLayout>
      </c:layout>
      <c:lineChart>
        <c:grouping val="standard"/>
        <c:ser>
          <c:idx val="0"/>
          <c:order val="0"/>
          <c:tx>
            <c:strRef>
              <c:f>'2n 3n 2n'!$N$23:$N$24</c:f>
              <c:strCache>
                <c:ptCount val="1"/>
                <c:pt idx="0">
                  <c:v>Temp. 5°C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'2n 3n 2n'!$L$25:$M$30</c:f>
              <c:multiLvlStrCache>
                <c:ptCount val="6"/>
                <c:lvl>
                  <c:pt idx="0">
                    <c:v>Purge</c:v>
                  </c:pt>
                  <c:pt idx="1">
                    <c:v>Purge</c:v>
                  </c:pt>
                  <c:pt idx="2">
                    <c:v>Purge</c:v>
                  </c:pt>
                  <c:pt idx="4">
                    <c:v>Séchage</c:v>
                  </c:pt>
                  <c:pt idx="5">
                    <c:v>Séchage</c:v>
                  </c:pt>
                </c:lvl>
                <c:lvl>
                  <c:pt idx="0">
                    <c:v>10mn</c:v>
                  </c:pt>
                  <c:pt idx="1">
                    <c:v>25mn</c:v>
                  </c:pt>
                  <c:pt idx="2">
                    <c:v>40mn</c:v>
                  </c:pt>
                  <c:pt idx="3">
                    <c:v> </c:v>
                  </c:pt>
                  <c:pt idx="4">
                    <c:v>5mn</c:v>
                  </c:pt>
                  <c:pt idx="5">
                    <c:v>15mn</c:v>
                  </c:pt>
                </c:lvl>
              </c:multiLvlStrCache>
            </c:multiLvlStrRef>
          </c:cat>
          <c:val>
            <c:numRef>
              <c:f>'2n 3n 2n'!$N$25:$N$30</c:f>
              <c:numCache>
                <c:formatCode>0.00</c:formatCode>
                <c:ptCount val="6"/>
                <c:pt idx="0">
                  <c:v>2.7762736524684519</c:v>
                </c:pt>
                <c:pt idx="1">
                  <c:v>2.6247226124677234</c:v>
                </c:pt>
                <c:pt idx="2">
                  <c:v>1.9472338151463251</c:v>
                </c:pt>
                <c:pt idx="4">
                  <c:v>2.866288820499463</c:v>
                </c:pt>
                <c:pt idx="5">
                  <c:v>2.0325312328888701</c:v>
                </c:pt>
              </c:numCache>
            </c:numRef>
          </c:val>
        </c:ser>
        <c:ser>
          <c:idx val="1"/>
          <c:order val="1"/>
          <c:tx>
            <c:strRef>
              <c:f>'2n 3n 2n'!$O$23:$O$24</c:f>
              <c:strCache>
                <c:ptCount val="1"/>
                <c:pt idx="0">
                  <c:v>Temp. 30°C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'2n 3n 2n'!$L$25:$M$30</c:f>
              <c:multiLvlStrCache>
                <c:ptCount val="6"/>
                <c:lvl>
                  <c:pt idx="0">
                    <c:v>Purge</c:v>
                  </c:pt>
                  <c:pt idx="1">
                    <c:v>Purge</c:v>
                  </c:pt>
                  <c:pt idx="2">
                    <c:v>Purge</c:v>
                  </c:pt>
                  <c:pt idx="4">
                    <c:v>Séchage</c:v>
                  </c:pt>
                  <c:pt idx="5">
                    <c:v>Séchage</c:v>
                  </c:pt>
                </c:lvl>
                <c:lvl>
                  <c:pt idx="0">
                    <c:v>10mn</c:v>
                  </c:pt>
                  <c:pt idx="1">
                    <c:v>25mn</c:v>
                  </c:pt>
                  <c:pt idx="2">
                    <c:v>40mn</c:v>
                  </c:pt>
                  <c:pt idx="3">
                    <c:v> </c:v>
                  </c:pt>
                  <c:pt idx="4">
                    <c:v>5mn</c:v>
                  </c:pt>
                  <c:pt idx="5">
                    <c:v>15mn</c:v>
                  </c:pt>
                </c:lvl>
              </c:multiLvlStrCache>
            </c:multiLvlStrRef>
          </c:cat>
          <c:val>
            <c:numRef>
              <c:f>'2n 3n 2n'!$O$25:$O$30</c:f>
              <c:numCache>
                <c:formatCode>0.00</c:formatCode>
                <c:ptCount val="6"/>
                <c:pt idx="0">
                  <c:v>4.8412565616419831</c:v>
                </c:pt>
                <c:pt idx="1">
                  <c:v>4.0193867079089891</c:v>
                </c:pt>
                <c:pt idx="2">
                  <c:v>3.8657033413549464</c:v>
                </c:pt>
                <c:pt idx="4">
                  <c:v>3.6767803836647808</c:v>
                </c:pt>
                <c:pt idx="5">
                  <c:v>4.8074506902724981</c:v>
                </c:pt>
              </c:numCache>
            </c:numRef>
          </c:val>
        </c:ser>
        <c:marker val="1"/>
        <c:axId val="90640384"/>
        <c:axId val="90642688"/>
      </c:lineChart>
      <c:catAx>
        <c:axId val="9064038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642688"/>
        <c:crosses val="autoZero"/>
        <c:lblAlgn val="ctr"/>
        <c:lblOffset val="100"/>
        <c:tickLblSkip val="1"/>
        <c:tickMarkSkip val="1"/>
      </c:catAx>
      <c:valAx>
        <c:axId val="90642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3316062176165803E-2"/>
              <c:y val="0.3316333072869708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6403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466338242693749"/>
          <c:y val="0.23469442273914234"/>
          <c:w val="0.28238341968911973"/>
          <c:h val="0.3852046643024600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 BC</a:t>
            </a:r>
          </a:p>
        </c:rich>
      </c:tx>
      <c:layout>
        <c:manualLayout>
          <c:xMode val="edge"/>
          <c:yMode val="edge"/>
          <c:x val="0.4151438972198554"/>
          <c:y val="4.037267080745358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45061604560577"/>
          <c:y val="0.18633530183727065"/>
          <c:w val="0.52687363124195452"/>
          <c:h val="0.55900621118012461"/>
        </c:manualLayout>
      </c:layout>
      <c:lineChart>
        <c:grouping val="standard"/>
        <c:ser>
          <c:idx val="0"/>
          <c:order val="0"/>
          <c:tx>
            <c:strRef>
              <c:f>'2n 3n 2n'!$N$36:$N$37</c:f>
              <c:strCache>
                <c:ptCount val="1"/>
                <c:pt idx="0">
                  <c:v>Purge 10mn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'2n 3n 2n'!$L$38:$M$39</c:f>
              <c:multiLvlStrCache>
                <c:ptCount val="2"/>
                <c:lvl>
                  <c:pt idx="0">
                    <c:v>Séchage</c:v>
                  </c:pt>
                  <c:pt idx="1">
                    <c:v>Séchage</c:v>
                  </c:pt>
                </c:lvl>
                <c:lvl>
                  <c:pt idx="0">
                    <c:v>5mn</c:v>
                  </c:pt>
                  <c:pt idx="1">
                    <c:v>15mn</c:v>
                  </c:pt>
                </c:lvl>
              </c:multiLvlStrCache>
            </c:multiLvlStrRef>
          </c:cat>
          <c:val>
            <c:numRef>
              <c:f>'2n 3n 2n'!$N$38:$N$39</c:f>
              <c:numCache>
                <c:formatCode>General</c:formatCode>
                <c:ptCount val="2"/>
                <c:pt idx="0">
                  <c:v>3.5383067976285676</c:v>
                </c:pt>
                <c:pt idx="1">
                  <c:v>4.0792234164818675</c:v>
                </c:pt>
              </c:numCache>
            </c:numRef>
          </c:val>
        </c:ser>
        <c:ser>
          <c:idx val="1"/>
          <c:order val="1"/>
          <c:tx>
            <c:strRef>
              <c:f>'2n 3n 2n'!$O$36:$O$37</c:f>
              <c:strCache>
                <c:ptCount val="1"/>
                <c:pt idx="0">
                  <c:v>Purge 25mn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'2n 3n 2n'!$L$38:$M$39</c:f>
              <c:multiLvlStrCache>
                <c:ptCount val="2"/>
                <c:lvl>
                  <c:pt idx="0">
                    <c:v>Séchage</c:v>
                  </c:pt>
                  <c:pt idx="1">
                    <c:v>Séchage</c:v>
                  </c:pt>
                </c:lvl>
                <c:lvl>
                  <c:pt idx="0">
                    <c:v>5mn</c:v>
                  </c:pt>
                  <c:pt idx="1">
                    <c:v>15mn</c:v>
                  </c:pt>
                </c:lvl>
              </c:multiLvlStrCache>
            </c:multiLvlStrRef>
          </c:cat>
          <c:val>
            <c:numRef>
              <c:f>'2n 3n 2n'!$O$38:$O$39</c:f>
              <c:numCache>
                <c:formatCode>General</c:formatCode>
                <c:ptCount val="2"/>
                <c:pt idx="0">
                  <c:v>3.3692061720638131</c:v>
                </c:pt>
                <c:pt idx="1">
                  <c:v>3.2749031483128994</c:v>
                </c:pt>
              </c:numCache>
            </c:numRef>
          </c:val>
        </c:ser>
        <c:ser>
          <c:idx val="2"/>
          <c:order val="2"/>
          <c:tx>
            <c:strRef>
              <c:f>'2n 3n 2n'!$P$36:$P$37</c:f>
              <c:strCache>
                <c:ptCount val="1"/>
                <c:pt idx="0">
                  <c:v>Purge 40mn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3333CC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'2n 3n 2n'!$L$38:$M$39</c:f>
              <c:multiLvlStrCache>
                <c:ptCount val="2"/>
                <c:lvl>
                  <c:pt idx="0">
                    <c:v>Séchage</c:v>
                  </c:pt>
                  <c:pt idx="1">
                    <c:v>Séchage</c:v>
                  </c:pt>
                </c:lvl>
                <c:lvl>
                  <c:pt idx="0">
                    <c:v>5mn</c:v>
                  </c:pt>
                  <c:pt idx="1">
                    <c:v>15mn</c:v>
                  </c:pt>
                </c:lvl>
              </c:multiLvlStrCache>
            </c:multiLvlStrRef>
          </c:cat>
          <c:val>
            <c:numRef>
              <c:f>'2n 3n 2n'!$P$38:$P$39</c:f>
              <c:numCache>
                <c:formatCode>General</c:formatCode>
                <c:ptCount val="2"/>
                <c:pt idx="0">
                  <c:v>2.9070908365539858</c:v>
                </c:pt>
                <c:pt idx="1">
                  <c:v>2.9058463199472859</c:v>
                </c:pt>
              </c:numCache>
            </c:numRef>
          </c:val>
        </c:ser>
        <c:marker val="1"/>
        <c:axId val="141814784"/>
        <c:axId val="154338432"/>
      </c:lineChart>
      <c:catAx>
        <c:axId val="14181478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54338432"/>
        <c:crosses val="autoZero"/>
        <c:lblAlgn val="ctr"/>
        <c:lblOffset val="100"/>
        <c:tickLblSkip val="1"/>
        <c:tickMarkSkip val="1"/>
      </c:catAx>
      <c:valAx>
        <c:axId val="1543384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3498754534664039E-2"/>
              <c:y val="0.304347826086956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418147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748879917080431"/>
          <c:y val="0.18944099378882051"/>
          <c:w val="0.29076245047394556"/>
          <c:h val="0.47826086956521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Graphique des effets moyens</a:t>
            </a:r>
          </a:p>
        </c:rich>
      </c:tx>
      <c:layout>
        <c:manualLayout>
          <c:xMode val="edge"/>
          <c:yMode val="edge"/>
          <c:x val="0.3547260938940402"/>
          <c:y val="3.674540682414698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851817909111812"/>
          <c:y val="0.17454854276028037"/>
          <c:w val="0.71411963014800495"/>
          <c:h val="0.55550976049868761"/>
        </c:manualLayout>
      </c:layout>
      <c:lineChart>
        <c:grouping val="standard"/>
        <c:ser>
          <c:idx val="0"/>
          <c:order val="0"/>
          <c:tx>
            <c:strRef>
              <c:f>'2n 3n 3n'!$L$13</c:f>
              <c:strCache>
                <c:ptCount val="1"/>
                <c:pt idx="0">
                  <c:v>Facteurs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'2n 3n 3n'!$M$11:$V$12</c:f>
              <c:multiLvlStrCache>
                <c:ptCount val="10"/>
                <c:lvl>
                  <c:pt idx="0">
                    <c:v>Voie</c:v>
                  </c:pt>
                  <c:pt idx="1">
                    <c:v>Voie</c:v>
                  </c:pt>
                  <c:pt idx="3">
                    <c:v>Souche</c:v>
                  </c:pt>
                  <c:pt idx="4">
                    <c:v>Souche</c:v>
                  </c:pt>
                  <c:pt idx="5">
                    <c:v>Souche</c:v>
                  </c:pt>
                  <c:pt idx="7">
                    <c:v>Vaccin</c:v>
                  </c:pt>
                  <c:pt idx="8">
                    <c:v>Vaccin</c:v>
                  </c:pt>
                  <c:pt idx="9">
                    <c:v>Vaccin</c:v>
                  </c:pt>
                </c:lvl>
                <c:lvl>
                  <c:pt idx="0">
                    <c:v>SC</c:v>
                  </c:pt>
                  <c:pt idx="1">
                    <c:v>IM</c:v>
                  </c:pt>
                  <c:pt idx="2">
                    <c:v> </c:v>
                  </c:pt>
                  <c:pt idx="3">
                    <c:v>Souche1</c:v>
                  </c:pt>
                  <c:pt idx="4">
                    <c:v>Souche2</c:v>
                  </c:pt>
                  <c:pt idx="5">
                    <c:v>Souche3</c:v>
                  </c:pt>
                  <c:pt idx="6">
                    <c:v> </c:v>
                  </c:pt>
                  <c:pt idx="7">
                    <c:v>VaccinA</c:v>
                  </c:pt>
                  <c:pt idx="8">
                    <c:v>VaccinB</c:v>
                  </c:pt>
                  <c:pt idx="9">
                    <c:v>Témoin</c:v>
                  </c:pt>
                </c:lvl>
              </c:multiLvlStrCache>
            </c:multiLvlStrRef>
          </c:cat>
          <c:val>
            <c:numRef>
              <c:f>'2n 3n 3n'!$M$13:$V$13</c:f>
              <c:numCache>
                <c:formatCode>0.000</c:formatCode>
                <c:ptCount val="10"/>
                <c:pt idx="0">
                  <c:v>25.022222222222222</c:v>
                </c:pt>
                <c:pt idx="1">
                  <c:v>25.388888888888889</c:v>
                </c:pt>
                <c:pt idx="3">
                  <c:v>13.049999999999999</c:v>
                </c:pt>
                <c:pt idx="4">
                  <c:v>20.43333333333333</c:v>
                </c:pt>
                <c:pt idx="5">
                  <c:v>42.133333333333333</c:v>
                </c:pt>
                <c:pt idx="7">
                  <c:v>15.9</c:v>
                </c:pt>
                <c:pt idx="8">
                  <c:v>26.283333333333331</c:v>
                </c:pt>
                <c:pt idx="9">
                  <c:v>33.433333333333337</c:v>
                </c:pt>
              </c:numCache>
            </c:numRef>
          </c:val>
        </c:ser>
        <c:ser>
          <c:idx val="1"/>
          <c:order val="1"/>
          <c:tx>
            <c:strRef>
              <c:f>'2n 3n 3n'!$L$14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multiLvlStrRef>
              <c:f>'2n 3n 3n'!$M$11:$V$12</c:f>
              <c:multiLvlStrCache>
                <c:ptCount val="10"/>
                <c:lvl>
                  <c:pt idx="0">
                    <c:v>Voie</c:v>
                  </c:pt>
                  <c:pt idx="1">
                    <c:v>Voie</c:v>
                  </c:pt>
                  <c:pt idx="3">
                    <c:v>Souche</c:v>
                  </c:pt>
                  <c:pt idx="4">
                    <c:v>Souche</c:v>
                  </c:pt>
                  <c:pt idx="5">
                    <c:v>Souche</c:v>
                  </c:pt>
                  <c:pt idx="7">
                    <c:v>Vaccin</c:v>
                  </c:pt>
                  <c:pt idx="8">
                    <c:v>Vaccin</c:v>
                  </c:pt>
                  <c:pt idx="9">
                    <c:v>Vaccin</c:v>
                  </c:pt>
                </c:lvl>
                <c:lvl>
                  <c:pt idx="0">
                    <c:v>SC</c:v>
                  </c:pt>
                  <c:pt idx="1">
                    <c:v>IM</c:v>
                  </c:pt>
                  <c:pt idx="2">
                    <c:v> </c:v>
                  </c:pt>
                  <c:pt idx="3">
                    <c:v>Souche1</c:v>
                  </c:pt>
                  <c:pt idx="4">
                    <c:v>Souche2</c:v>
                  </c:pt>
                  <c:pt idx="5">
                    <c:v>Souche3</c:v>
                  </c:pt>
                  <c:pt idx="6">
                    <c:v> </c:v>
                  </c:pt>
                  <c:pt idx="7">
                    <c:v>VaccinA</c:v>
                  </c:pt>
                  <c:pt idx="8">
                    <c:v>VaccinB</c:v>
                  </c:pt>
                  <c:pt idx="9">
                    <c:v>Témoin</c:v>
                  </c:pt>
                </c:lvl>
              </c:multiLvlStrCache>
            </c:multiLvlStrRef>
          </c:cat>
          <c:val>
            <c:numRef>
              <c:f>'2n 3n 3n'!$M$14:$V$14</c:f>
              <c:numCache>
                <c:formatCode>0.000</c:formatCode>
                <c:ptCount val="10"/>
                <c:pt idx="0">
                  <c:v>25.205555555555556</c:v>
                </c:pt>
                <c:pt idx="1">
                  <c:v>25.205555555555556</c:v>
                </c:pt>
                <c:pt idx="2">
                  <c:v>25.205555555555556</c:v>
                </c:pt>
                <c:pt idx="3">
                  <c:v>25.205555555555556</c:v>
                </c:pt>
                <c:pt idx="4">
                  <c:v>25.205555555555556</c:v>
                </c:pt>
                <c:pt idx="5">
                  <c:v>25.205555555555556</c:v>
                </c:pt>
                <c:pt idx="6">
                  <c:v>25.205555555555556</c:v>
                </c:pt>
                <c:pt idx="7">
                  <c:v>25.205555555555556</c:v>
                </c:pt>
                <c:pt idx="8">
                  <c:v>25.205555555555556</c:v>
                </c:pt>
                <c:pt idx="9">
                  <c:v>25.205555555555556</c:v>
                </c:pt>
              </c:numCache>
            </c:numRef>
          </c:val>
        </c:ser>
        <c:marker val="1"/>
        <c:axId val="57577472"/>
        <c:axId val="57579008"/>
      </c:lineChart>
      <c:catAx>
        <c:axId val="5757747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579008"/>
        <c:crosses val="autoZero"/>
        <c:lblAlgn val="ctr"/>
        <c:lblOffset val="100"/>
        <c:tickLblSkip val="1"/>
        <c:tickMarkSkip val="1"/>
      </c:catAx>
      <c:valAx>
        <c:axId val="575790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</a:t>
                </a:r>
              </a:p>
            </c:rich>
          </c:tx>
          <c:layout>
            <c:manualLayout>
              <c:xMode val="edge"/>
              <c:yMode val="edge"/>
              <c:x val="2.1003500583430649E-2"/>
              <c:y val="0.35958176126421887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5774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130765013766451"/>
          <c:y val="0.45669496391076214"/>
          <c:w val="0.14585779607187391"/>
          <c:h val="0.123360263560805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fr-FR"/>
              <a:t>Interactions avec le facteur A</a:t>
            </a:r>
          </a:p>
        </c:rich>
      </c:tx>
      <c:layout>
        <c:manualLayout>
          <c:xMode val="edge"/>
          <c:yMode val="edge"/>
          <c:x val="0.33797501578125644"/>
          <c:y val="3.66749887971320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12670139545062"/>
          <c:y val="0.15256385634722547"/>
          <c:w val="0.6784817465282954"/>
          <c:h val="0.58320049932782758"/>
        </c:manualLayout>
      </c:layout>
      <c:lineChart>
        <c:grouping val="standard"/>
        <c:ser>
          <c:idx val="0"/>
          <c:order val="0"/>
          <c:tx>
            <c:strRef>
              <c:f>'2n 3n 3n'!$N$29:$N$30</c:f>
              <c:strCache>
                <c:ptCount val="1"/>
                <c:pt idx="0">
                  <c:v>Voie SC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'2n 3n 3n'!$L$31:$M$37</c:f>
              <c:multiLvlStrCache>
                <c:ptCount val="7"/>
                <c:lvl>
                  <c:pt idx="0">
                    <c:v>Souche</c:v>
                  </c:pt>
                  <c:pt idx="1">
                    <c:v>Souche</c:v>
                  </c:pt>
                  <c:pt idx="2">
                    <c:v>Souche</c:v>
                  </c:pt>
                  <c:pt idx="4">
                    <c:v>Vaccin</c:v>
                  </c:pt>
                  <c:pt idx="5">
                    <c:v>Vaccin</c:v>
                  </c:pt>
                  <c:pt idx="6">
                    <c:v>Vaccin</c:v>
                  </c:pt>
                </c:lvl>
                <c:lvl>
                  <c:pt idx="0">
                    <c:v>Souche1</c:v>
                  </c:pt>
                  <c:pt idx="1">
                    <c:v>Souche2</c:v>
                  </c:pt>
                  <c:pt idx="2">
                    <c:v>Souche3</c:v>
                  </c:pt>
                  <c:pt idx="3">
                    <c:v> </c:v>
                  </c:pt>
                  <c:pt idx="4">
                    <c:v>VaccinA</c:v>
                  </c:pt>
                  <c:pt idx="5">
                    <c:v>VaccinB</c:v>
                  </c:pt>
                  <c:pt idx="6">
                    <c:v>Témoin</c:v>
                  </c:pt>
                </c:lvl>
              </c:multiLvlStrCache>
            </c:multiLvlStrRef>
          </c:cat>
          <c:val>
            <c:numRef>
              <c:f>'2n 3n 3n'!$N$31:$N$37</c:f>
              <c:numCache>
                <c:formatCode>0.00</c:formatCode>
                <c:ptCount val="7"/>
                <c:pt idx="0">
                  <c:v>9.5</c:v>
                </c:pt>
                <c:pt idx="1">
                  <c:v>24.233333333333331</c:v>
                </c:pt>
                <c:pt idx="2">
                  <c:v>41.333333333333336</c:v>
                </c:pt>
                <c:pt idx="4">
                  <c:v>18.2</c:v>
                </c:pt>
                <c:pt idx="5">
                  <c:v>25.733333333333331</c:v>
                </c:pt>
                <c:pt idx="6" formatCode="General">
                  <c:v>31.133333333333336</c:v>
                </c:pt>
              </c:numCache>
            </c:numRef>
          </c:val>
        </c:ser>
        <c:ser>
          <c:idx val="1"/>
          <c:order val="1"/>
          <c:tx>
            <c:strRef>
              <c:f>'2n 3n 3n'!$O$29:$O$30</c:f>
              <c:strCache>
                <c:ptCount val="1"/>
                <c:pt idx="0">
                  <c:v>Voie IM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Dot"/>
            </a:ln>
          </c:spPr>
          <c:marker>
            <c:symbol val="square"/>
            <c:size val="5"/>
            <c:spPr>
              <a:noFill/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'2n 3n 3n'!$L$31:$M$37</c:f>
              <c:multiLvlStrCache>
                <c:ptCount val="7"/>
                <c:lvl>
                  <c:pt idx="0">
                    <c:v>Souche</c:v>
                  </c:pt>
                  <c:pt idx="1">
                    <c:v>Souche</c:v>
                  </c:pt>
                  <c:pt idx="2">
                    <c:v>Souche</c:v>
                  </c:pt>
                  <c:pt idx="4">
                    <c:v>Vaccin</c:v>
                  </c:pt>
                  <c:pt idx="5">
                    <c:v>Vaccin</c:v>
                  </c:pt>
                  <c:pt idx="6">
                    <c:v>Vaccin</c:v>
                  </c:pt>
                </c:lvl>
                <c:lvl>
                  <c:pt idx="0">
                    <c:v>Souche1</c:v>
                  </c:pt>
                  <c:pt idx="1">
                    <c:v>Souche2</c:v>
                  </c:pt>
                  <c:pt idx="2">
                    <c:v>Souche3</c:v>
                  </c:pt>
                  <c:pt idx="3">
                    <c:v> </c:v>
                  </c:pt>
                  <c:pt idx="4">
                    <c:v>VaccinA</c:v>
                  </c:pt>
                  <c:pt idx="5">
                    <c:v>VaccinB</c:v>
                  </c:pt>
                  <c:pt idx="6">
                    <c:v>Témoin</c:v>
                  </c:pt>
                </c:lvl>
              </c:multiLvlStrCache>
            </c:multiLvlStrRef>
          </c:cat>
          <c:val>
            <c:numRef>
              <c:f>'2n 3n 3n'!$O$31:$O$37</c:f>
              <c:numCache>
                <c:formatCode>0.00</c:formatCode>
                <c:ptCount val="7"/>
                <c:pt idx="0">
                  <c:v>16.599999999999998</c:v>
                </c:pt>
                <c:pt idx="1">
                  <c:v>16.633333333333333</c:v>
                </c:pt>
                <c:pt idx="2">
                  <c:v>42.933333333333337</c:v>
                </c:pt>
                <c:pt idx="4">
                  <c:v>13.6</c:v>
                </c:pt>
                <c:pt idx="5">
                  <c:v>26.833333333333332</c:v>
                </c:pt>
                <c:pt idx="6" formatCode="General">
                  <c:v>35.733333333333327</c:v>
                </c:pt>
              </c:numCache>
            </c:numRef>
          </c:val>
        </c:ser>
        <c:marker val="1"/>
        <c:axId val="57612160"/>
        <c:axId val="57634816"/>
      </c:lineChart>
      <c:catAx>
        <c:axId val="57612160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634816"/>
        <c:crosses val="autoZero"/>
        <c:lblAlgn val="ctr"/>
        <c:lblOffset val="100"/>
        <c:tickLblSkip val="1"/>
        <c:tickMarkSkip val="1"/>
      </c:catAx>
      <c:valAx>
        <c:axId val="57634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fr-FR"/>
                  <a:t>Réponses</a:t>
                </a:r>
              </a:p>
            </c:rich>
          </c:tx>
          <c:layout>
            <c:manualLayout>
              <c:xMode val="edge"/>
              <c:yMode val="edge"/>
              <c:x val="2.2784810126582282E-2"/>
              <c:y val="0.34963414634146345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576121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632994451642914"/>
          <c:y val="0.22738461046027783"/>
          <c:w val="0.17974700156151424"/>
          <c:h val="0.332519364957430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899999956" l="0.78740157499999996" r="0.78740157499999996" t="0.98425196899999956" header="0.49212598450000067" footer="0.4921259845000006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gif"/><Relationship Id="rId5" Type="http://schemas.openxmlformats.org/officeDocument/2006/relationships/hyperlink" Target="http://www.r-project.org/" TargetMode="External"/><Relationship Id="rId4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image" Target="../media/image2.gif"/><Relationship Id="rId5" Type="http://schemas.openxmlformats.org/officeDocument/2006/relationships/hyperlink" Target="http://www.r-project.org/" TargetMode="External"/><Relationship Id="rId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7" Type="http://schemas.openxmlformats.org/officeDocument/2006/relationships/image" Target="../media/image2.gif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hyperlink" Target="http://www.r-project.org/" TargetMode="External"/><Relationship Id="rId5" Type="http://schemas.openxmlformats.org/officeDocument/2006/relationships/image" Target="../media/image1.png"/><Relationship Id="rId4" Type="http://schemas.openxmlformats.org/officeDocument/2006/relationships/hyperlink" Target="http://www.anastats.fr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image" Target="../media/image2.gif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hyperlink" Target="http://www.r-project.org/" TargetMode="External"/><Relationship Id="rId5" Type="http://schemas.openxmlformats.org/officeDocument/2006/relationships/image" Target="../media/image1.png"/><Relationship Id="rId4" Type="http://schemas.openxmlformats.org/officeDocument/2006/relationships/hyperlink" Target="http://www.anastats.fr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7" Type="http://schemas.openxmlformats.org/officeDocument/2006/relationships/image" Target="../media/image2.gif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hyperlink" Target="http://www.r-project.org/" TargetMode="External"/><Relationship Id="rId5" Type="http://schemas.openxmlformats.org/officeDocument/2006/relationships/image" Target="../media/image1.png"/><Relationship Id="rId4" Type="http://schemas.openxmlformats.org/officeDocument/2006/relationships/hyperlink" Target="http://www.anastats.fr/" TargetMode="Externa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gif"/><Relationship Id="rId3" Type="http://schemas.openxmlformats.org/officeDocument/2006/relationships/chart" Target="../charts/chart16.xml"/><Relationship Id="rId7" Type="http://schemas.openxmlformats.org/officeDocument/2006/relationships/hyperlink" Target="http://www.r-project.org/" TargetMode="Externa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image" Target="../media/image1.png"/><Relationship Id="rId5" Type="http://schemas.openxmlformats.org/officeDocument/2006/relationships/hyperlink" Target="http://www.anastats.fr/" TargetMode="External"/><Relationship Id="rId4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-project.org/" TargetMode="External"/><Relationship Id="rId3" Type="http://schemas.openxmlformats.org/officeDocument/2006/relationships/chart" Target="../charts/chart20.xml"/><Relationship Id="rId7" Type="http://schemas.openxmlformats.org/officeDocument/2006/relationships/image" Target="../media/image1.png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hyperlink" Target="http://www.anastats.fr/" TargetMode="External"/><Relationship Id="rId5" Type="http://schemas.openxmlformats.org/officeDocument/2006/relationships/chart" Target="../charts/chart22.xml"/><Relationship Id="rId4" Type="http://schemas.openxmlformats.org/officeDocument/2006/relationships/chart" Target="../charts/chart21.xml"/><Relationship Id="rId9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601980</xdr:colOff>
      <xdr:row>0</xdr:row>
      <xdr:rowOff>38100</xdr:rowOff>
    </xdr:from>
    <xdr:to>
      <xdr:col>5</xdr:col>
      <xdr:colOff>356619</xdr:colOff>
      <xdr:row>0</xdr:row>
      <xdr:rowOff>419101</xdr:rowOff>
    </xdr:to>
    <xdr:pic>
      <xdr:nvPicPr>
        <xdr:cNvPr id="3" name="Image 2" descr="AnaStats_base-line moyen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70760" y="3810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3</xdr:row>
      <xdr:rowOff>121920</xdr:rowOff>
    </xdr:from>
    <xdr:to>
      <xdr:col>19</xdr:col>
      <xdr:colOff>472440</xdr:colOff>
      <xdr:row>23</xdr:row>
      <xdr:rowOff>22860</xdr:rowOff>
    </xdr:to>
    <xdr:graphicFrame macro="">
      <xdr:nvGraphicFramePr>
        <xdr:cNvPr id="20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9</xdr:col>
      <xdr:colOff>426720</xdr:colOff>
      <xdr:row>23</xdr:row>
      <xdr:rowOff>53340</xdr:rowOff>
    </xdr:from>
    <xdr:to>
      <xdr:col>18</xdr:col>
      <xdr:colOff>518160</xdr:colOff>
      <xdr:row>34</xdr:row>
      <xdr:rowOff>0</xdr:rowOff>
    </xdr:to>
    <xdr:graphicFrame macro="">
      <xdr:nvGraphicFramePr>
        <xdr:cNvPr id="208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0</xdr:col>
      <xdr:colOff>60960</xdr:colOff>
      <xdr:row>0</xdr:row>
      <xdr:rowOff>91440</xdr:rowOff>
    </xdr:from>
    <xdr:to>
      <xdr:col>1</xdr:col>
      <xdr:colOff>188979</xdr:colOff>
      <xdr:row>2</xdr:row>
      <xdr:rowOff>99061</xdr:rowOff>
    </xdr:to>
    <xdr:pic>
      <xdr:nvPicPr>
        <xdr:cNvPr id="5" name="Image 4" descr="AnaStats_base-line moyen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960" y="91440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571500</xdr:colOff>
      <xdr:row>58</xdr:row>
      <xdr:rowOff>0</xdr:rowOff>
    </xdr:from>
    <xdr:to>
      <xdr:col>7</xdr:col>
      <xdr:colOff>804583</xdr:colOff>
      <xdr:row>58</xdr:row>
      <xdr:rowOff>177421</xdr:rowOff>
    </xdr:to>
    <xdr:pic>
      <xdr:nvPicPr>
        <xdr:cNvPr id="6" name="Image 5" descr="Logo-R_fondTransparent.gif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6858000" y="10340340"/>
          <a:ext cx="233083" cy="1774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2</xdr:row>
      <xdr:rowOff>83820</xdr:rowOff>
    </xdr:from>
    <xdr:to>
      <xdr:col>21</xdr:col>
      <xdr:colOff>373380</xdr:colOff>
      <xdr:row>20</xdr:row>
      <xdr:rowOff>0</xdr:rowOff>
    </xdr:to>
    <xdr:graphicFrame macro="">
      <xdr:nvGraphicFramePr>
        <xdr:cNvPr id="311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10</xdr:col>
      <xdr:colOff>0</xdr:colOff>
      <xdr:row>19</xdr:row>
      <xdr:rowOff>160020</xdr:rowOff>
    </xdr:from>
    <xdr:to>
      <xdr:col>20</xdr:col>
      <xdr:colOff>274320</xdr:colOff>
      <xdr:row>36</xdr:row>
      <xdr:rowOff>7620</xdr:rowOff>
    </xdr:to>
    <xdr:graphicFrame macro="">
      <xdr:nvGraphicFramePr>
        <xdr:cNvPr id="31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0</xdr:col>
      <xdr:colOff>99060</xdr:colOff>
      <xdr:row>0</xdr:row>
      <xdr:rowOff>76200</xdr:rowOff>
    </xdr:from>
    <xdr:to>
      <xdr:col>1</xdr:col>
      <xdr:colOff>364239</xdr:colOff>
      <xdr:row>2</xdr:row>
      <xdr:rowOff>83821</xdr:rowOff>
    </xdr:to>
    <xdr:pic>
      <xdr:nvPicPr>
        <xdr:cNvPr id="5" name="Image 4" descr="AnaStats_base-line moyen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060" y="76200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8</xdr:col>
      <xdr:colOff>541020</xdr:colOff>
      <xdr:row>75</xdr:row>
      <xdr:rowOff>0</xdr:rowOff>
    </xdr:from>
    <xdr:to>
      <xdr:col>8</xdr:col>
      <xdr:colOff>774103</xdr:colOff>
      <xdr:row>75</xdr:row>
      <xdr:rowOff>177421</xdr:rowOff>
    </xdr:to>
    <xdr:pic>
      <xdr:nvPicPr>
        <xdr:cNvPr id="6" name="Image 5" descr="Logo-R_fondTransparent.gif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467600" y="13350240"/>
          <a:ext cx="233083" cy="177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922020</xdr:colOff>
      <xdr:row>3</xdr:row>
      <xdr:rowOff>15240</xdr:rowOff>
    </xdr:from>
    <xdr:to>
      <xdr:col>23</xdr:col>
      <xdr:colOff>518160</xdr:colOff>
      <xdr:row>21</xdr:row>
      <xdr:rowOff>0</xdr:rowOff>
    </xdr:to>
    <xdr:graphicFrame macro="">
      <xdr:nvGraphicFramePr>
        <xdr:cNvPr id="41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10</xdr:col>
      <xdr:colOff>922020</xdr:colOff>
      <xdr:row>21</xdr:row>
      <xdr:rowOff>7620</xdr:rowOff>
    </xdr:from>
    <xdr:to>
      <xdr:col>22</xdr:col>
      <xdr:colOff>464820</xdr:colOff>
      <xdr:row>38</xdr:row>
      <xdr:rowOff>7620</xdr:rowOff>
    </xdr:to>
    <xdr:graphicFrame macro="">
      <xdr:nvGraphicFramePr>
        <xdr:cNvPr id="41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10</xdr:col>
      <xdr:colOff>922020</xdr:colOff>
      <xdr:row>38</xdr:row>
      <xdr:rowOff>7620</xdr:rowOff>
    </xdr:from>
    <xdr:to>
      <xdr:col>21</xdr:col>
      <xdr:colOff>160020</xdr:colOff>
      <xdr:row>52</xdr:row>
      <xdr:rowOff>7620</xdr:rowOff>
    </xdr:to>
    <xdr:graphicFrame macro="">
      <xdr:nvGraphicFramePr>
        <xdr:cNvPr id="41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 editAs="oneCell">
    <xdr:from>
      <xdr:col>0</xdr:col>
      <xdr:colOff>83820</xdr:colOff>
      <xdr:row>0</xdr:row>
      <xdr:rowOff>68580</xdr:rowOff>
    </xdr:from>
    <xdr:to>
      <xdr:col>1</xdr:col>
      <xdr:colOff>143259</xdr:colOff>
      <xdr:row>2</xdr:row>
      <xdr:rowOff>76201</xdr:rowOff>
    </xdr:to>
    <xdr:pic>
      <xdr:nvPicPr>
        <xdr:cNvPr id="6" name="Image 5" descr="AnaStats_base-line moye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3820" y="68580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7</xdr:col>
      <xdr:colOff>701040</xdr:colOff>
      <xdr:row>95</xdr:row>
      <xdr:rowOff>0</xdr:rowOff>
    </xdr:from>
    <xdr:to>
      <xdr:col>7</xdr:col>
      <xdr:colOff>934123</xdr:colOff>
      <xdr:row>95</xdr:row>
      <xdr:rowOff>177421</xdr:rowOff>
    </xdr:to>
    <xdr:pic>
      <xdr:nvPicPr>
        <xdr:cNvPr id="7" name="Image 6" descr="Logo-R_fondTransparent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749540" y="16611600"/>
          <a:ext cx="233083" cy="1774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</xdr:colOff>
      <xdr:row>3</xdr:row>
      <xdr:rowOff>30480</xdr:rowOff>
    </xdr:from>
    <xdr:to>
      <xdr:col>23</xdr:col>
      <xdr:colOff>525780</xdr:colOff>
      <xdr:row>19</xdr:row>
      <xdr:rowOff>144780</xdr:rowOff>
    </xdr:to>
    <xdr:graphicFrame macro="">
      <xdr:nvGraphicFramePr>
        <xdr:cNvPr id="51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11</xdr:col>
      <xdr:colOff>0</xdr:colOff>
      <xdr:row>19</xdr:row>
      <xdr:rowOff>152400</xdr:rowOff>
    </xdr:from>
    <xdr:to>
      <xdr:col>23</xdr:col>
      <xdr:colOff>7620</xdr:colOff>
      <xdr:row>37</xdr:row>
      <xdr:rowOff>137160</xdr:rowOff>
    </xdr:to>
    <xdr:graphicFrame macro="">
      <xdr:nvGraphicFramePr>
        <xdr:cNvPr id="517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11</xdr:col>
      <xdr:colOff>0</xdr:colOff>
      <xdr:row>37</xdr:row>
      <xdr:rowOff>152400</xdr:rowOff>
    </xdr:from>
    <xdr:to>
      <xdr:col>21</xdr:col>
      <xdr:colOff>594360</xdr:colOff>
      <xdr:row>52</xdr:row>
      <xdr:rowOff>114300</xdr:rowOff>
    </xdr:to>
    <xdr:graphicFrame macro="">
      <xdr:nvGraphicFramePr>
        <xdr:cNvPr id="51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 editAs="oneCell">
    <xdr:from>
      <xdr:col>0</xdr:col>
      <xdr:colOff>106680</xdr:colOff>
      <xdr:row>0</xdr:row>
      <xdr:rowOff>91440</xdr:rowOff>
    </xdr:from>
    <xdr:to>
      <xdr:col>1</xdr:col>
      <xdr:colOff>310899</xdr:colOff>
      <xdr:row>2</xdr:row>
      <xdr:rowOff>99061</xdr:rowOff>
    </xdr:to>
    <xdr:pic>
      <xdr:nvPicPr>
        <xdr:cNvPr id="6" name="Image 5" descr="AnaStats_base-line moye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6680" y="91440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7</xdr:col>
      <xdr:colOff>701040</xdr:colOff>
      <xdr:row>131</xdr:row>
      <xdr:rowOff>0</xdr:rowOff>
    </xdr:from>
    <xdr:to>
      <xdr:col>7</xdr:col>
      <xdr:colOff>934123</xdr:colOff>
      <xdr:row>131</xdr:row>
      <xdr:rowOff>177421</xdr:rowOff>
    </xdr:to>
    <xdr:pic>
      <xdr:nvPicPr>
        <xdr:cNvPr id="7" name="Image 6" descr="Logo-R_fondTransparent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604760" y="22517100"/>
          <a:ext cx="233083" cy="17742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423582</xdr:colOff>
      <xdr:row>2</xdr:row>
      <xdr:rowOff>80682</xdr:rowOff>
    </xdr:from>
    <xdr:to>
      <xdr:col>23</xdr:col>
      <xdr:colOff>778136</xdr:colOff>
      <xdr:row>18</xdr:row>
      <xdr:rowOff>111611</xdr:rowOff>
    </xdr:to>
    <xdr:graphicFrame macro="">
      <xdr:nvGraphicFramePr>
        <xdr:cNvPr id="61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10</xdr:col>
      <xdr:colOff>424928</xdr:colOff>
      <xdr:row>18</xdr:row>
      <xdr:rowOff>111611</xdr:rowOff>
    </xdr:from>
    <xdr:to>
      <xdr:col>23</xdr:col>
      <xdr:colOff>286872</xdr:colOff>
      <xdr:row>37</xdr:row>
      <xdr:rowOff>27791</xdr:rowOff>
    </xdr:to>
    <xdr:graphicFrame macro="">
      <xdr:nvGraphicFramePr>
        <xdr:cNvPr id="61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10</xdr:col>
      <xdr:colOff>423582</xdr:colOff>
      <xdr:row>37</xdr:row>
      <xdr:rowOff>35410</xdr:rowOff>
    </xdr:from>
    <xdr:to>
      <xdr:col>21</xdr:col>
      <xdr:colOff>153744</xdr:colOff>
      <xdr:row>53</xdr:row>
      <xdr:rowOff>96370</xdr:rowOff>
    </xdr:to>
    <xdr:graphicFrame macro="">
      <xdr:nvGraphicFramePr>
        <xdr:cNvPr id="61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 editAs="oneCell">
    <xdr:from>
      <xdr:col>0</xdr:col>
      <xdr:colOff>71720</xdr:colOff>
      <xdr:row>0</xdr:row>
      <xdr:rowOff>71720</xdr:rowOff>
    </xdr:from>
    <xdr:to>
      <xdr:col>1</xdr:col>
      <xdr:colOff>273250</xdr:colOff>
      <xdr:row>2</xdr:row>
      <xdr:rowOff>76203</xdr:rowOff>
    </xdr:to>
    <xdr:pic>
      <xdr:nvPicPr>
        <xdr:cNvPr id="6" name="Image 5" descr="AnaStats_base-line moye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720" y="71720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7</xdr:col>
      <xdr:colOff>701040</xdr:colOff>
      <xdr:row>185</xdr:row>
      <xdr:rowOff>0</xdr:rowOff>
    </xdr:from>
    <xdr:to>
      <xdr:col>7</xdr:col>
      <xdr:colOff>934123</xdr:colOff>
      <xdr:row>185</xdr:row>
      <xdr:rowOff>177421</xdr:rowOff>
    </xdr:to>
    <xdr:pic>
      <xdr:nvPicPr>
        <xdr:cNvPr id="7" name="Image 6" descr="Logo-R_fondTransparent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604760" y="31523940"/>
          <a:ext cx="233083" cy="17742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401171</xdr:colOff>
      <xdr:row>3</xdr:row>
      <xdr:rowOff>116541</xdr:rowOff>
    </xdr:from>
    <xdr:to>
      <xdr:col>28</xdr:col>
      <xdr:colOff>172571</xdr:colOff>
      <xdr:row>20</xdr:row>
      <xdr:rowOff>24205</xdr:rowOff>
    </xdr:to>
    <xdr:graphicFrame macro="">
      <xdr:nvGraphicFramePr>
        <xdr:cNvPr id="72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11</xdr:col>
      <xdr:colOff>408791</xdr:colOff>
      <xdr:row>20</xdr:row>
      <xdr:rowOff>39445</xdr:rowOff>
    </xdr:from>
    <xdr:to>
      <xdr:col>25</xdr:col>
      <xdr:colOff>225911</xdr:colOff>
      <xdr:row>35</xdr:row>
      <xdr:rowOff>24205</xdr:rowOff>
    </xdr:to>
    <xdr:graphicFrame macro="">
      <xdr:nvGraphicFramePr>
        <xdr:cNvPr id="72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11</xdr:col>
      <xdr:colOff>416411</xdr:colOff>
      <xdr:row>35</xdr:row>
      <xdr:rowOff>24205</xdr:rowOff>
    </xdr:from>
    <xdr:to>
      <xdr:col>23</xdr:col>
      <xdr:colOff>187811</xdr:colOff>
      <xdr:row>49</xdr:row>
      <xdr:rowOff>130885</xdr:rowOff>
    </xdr:to>
    <xdr:graphicFrame macro="">
      <xdr:nvGraphicFramePr>
        <xdr:cNvPr id="72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11</xdr:col>
      <xdr:colOff>424031</xdr:colOff>
      <xdr:row>49</xdr:row>
      <xdr:rowOff>130885</xdr:rowOff>
    </xdr:from>
    <xdr:to>
      <xdr:col>22</xdr:col>
      <xdr:colOff>96371</xdr:colOff>
      <xdr:row>63</xdr:row>
      <xdr:rowOff>168985</xdr:rowOff>
    </xdr:to>
    <xdr:graphicFrame macro="">
      <xdr:nvGraphicFramePr>
        <xdr:cNvPr id="723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 editAs="oneCell">
    <xdr:from>
      <xdr:col>0</xdr:col>
      <xdr:colOff>80685</xdr:colOff>
      <xdr:row>0</xdr:row>
      <xdr:rowOff>98609</xdr:rowOff>
    </xdr:from>
    <xdr:to>
      <xdr:col>1</xdr:col>
      <xdr:colOff>434615</xdr:colOff>
      <xdr:row>2</xdr:row>
      <xdr:rowOff>103092</xdr:rowOff>
    </xdr:to>
    <xdr:pic>
      <xdr:nvPicPr>
        <xdr:cNvPr id="7" name="Image 6" descr="AnaStats_base-line moyen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0685" y="98609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8</xdr:col>
      <xdr:colOff>537900</xdr:colOff>
      <xdr:row>167</xdr:row>
      <xdr:rowOff>0</xdr:rowOff>
    </xdr:from>
    <xdr:to>
      <xdr:col>8</xdr:col>
      <xdr:colOff>770983</xdr:colOff>
      <xdr:row>167</xdr:row>
      <xdr:rowOff>177421</xdr:rowOff>
    </xdr:to>
    <xdr:pic>
      <xdr:nvPicPr>
        <xdr:cNvPr id="8" name="Image 7" descr="Logo-R_fondTransparent.gif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7548300" y="29233906"/>
          <a:ext cx="233083" cy="17742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738243</xdr:colOff>
      <xdr:row>2</xdr:row>
      <xdr:rowOff>8964</xdr:rowOff>
    </xdr:from>
    <xdr:to>
      <xdr:col>31</xdr:col>
      <xdr:colOff>57374</xdr:colOff>
      <xdr:row>19</xdr:row>
      <xdr:rowOff>162709</xdr:rowOff>
    </xdr:to>
    <xdr:graphicFrame macro="">
      <xdr:nvGraphicFramePr>
        <xdr:cNvPr id="82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12</xdr:col>
      <xdr:colOff>726589</xdr:colOff>
      <xdr:row>19</xdr:row>
      <xdr:rowOff>176604</xdr:rowOff>
    </xdr:from>
    <xdr:to>
      <xdr:col>29</xdr:col>
      <xdr:colOff>353657</xdr:colOff>
      <xdr:row>38</xdr:row>
      <xdr:rowOff>39444</xdr:rowOff>
    </xdr:to>
    <xdr:graphicFrame macro="">
      <xdr:nvGraphicFramePr>
        <xdr:cNvPr id="82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12</xdr:col>
      <xdr:colOff>734210</xdr:colOff>
      <xdr:row>38</xdr:row>
      <xdr:rowOff>39445</xdr:rowOff>
    </xdr:from>
    <xdr:to>
      <xdr:col>27</xdr:col>
      <xdr:colOff>389517</xdr:colOff>
      <xdr:row>55</xdr:row>
      <xdr:rowOff>47065</xdr:rowOff>
    </xdr:to>
    <xdr:graphicFrame macro="">
      <xdr:nvGraphicFramePr>
        <xdr:cNvPr id="82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12</xdr:col>
      <xdr:colOff>732865</xdr:colOff>
      <xdr:row>55</xdr:row>
      <xdr:rowOff>26444</xdr:rowOff>
    </xdr:from>
    <xdr:to>
      <xdr:col>25</xdr:col>
      <xdr:colOff>380104</xdr:colOff>
      <xdr:row>71</xdr:row>
      <xdr:rowOff>11204</xdr:rowOff>
    </xdr:to>
    <xdr:graphicFrame macro="">
      <xdr:nvGraphicFramePr>
        <xdr:cNvPr id="827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12</xdr:col>
      <xdr:colOff>740484</xdr:colOff>
      <xdr:row>71</xdr:row>
      <xdr:rowOff>17482</xdr:rowOff>
    </xdr:from>
    <xdr:to>
      <xdr:col>23</xdr:col>
      <xdr:colOff>393998</xdr:colOff>
      <xdr:row>84</xdr:row>
      <xdr:rowOff>17482</xdr:rowOff>
    </xdr:to>
    <xdr:graphicFrame macro="">
      <xdr:nvGraphicFramePr>
        <xdr:cNvPr id="827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 editAs="oneCell">
    <xdr:from>
      <xdr:col>0</xdr:col>
      <xdr:colOff>80685</xdr:colOff>
      <xdr:row>0</xdr:row>
      <xdr:rowOff>80679</xdr:rowOff>
    </xdr:from>
    <xdr:to>
      <xdr:col>1</xdr:col>
      <xdr:colOff>416685</xdr:colOff>
      <xdr:row>2</xdr:row>
      <xdr:rowOff>85162</xdr:rowOff>
    </xdr:to>
    <xdr:pic>
      <xdr:nvPicPr>
        <xdr:cNvPr id="8" name="Image 7" descr="AnaStats_base-line moyen.png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80685" y="80679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9</xdr:col>
      <xdr:colOff>537900</xdr:colOff>
      <xdr:row>457</xdr:row>
      <xdr:rowOff>0</xdr:rowOff>
    </xdr:from>
    <xdr:to>
      <xdr:col>9</xdr:col>
      <xdr:colOff>770983</xdr:colOff>
      <xdr:row>457</xdr:row>
      <xdr:rowOff>177421</xdr:rowOff>
    </xdr:to>
    <xdr:pic>
      <xdr:nvPicPr>
        <xdr:cNvPr id="9" name="Image 8" descr="Logo-R_fondTransparent.gif">
          <a:hlinkClick xmlns:r="http://schemas.openxmlformats.org/officeDocument/2006/relationships" r:id="rId8"/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8480629" y="78414282"/>
          <a:ext cx="233083" cy="177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anastats.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anastats.fr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mailto:info@anasats.f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anastats.fr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fo@anastats.fr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info@anastats.fr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nfo@anastats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A56"/>
  <sheetViews>
    <sheetView workbookViewId="0">
      <selection activeCell="B2" sqref="B2:H2"/>
    </sheetView>
  </sheetViews>
  <sheetFormatPr baseColWidth="10" defaultRowHeight="13.2"/>
  <cols>
    <col min="1" max="1" width="5.6640625" style="10" customWidth="1"/>
    <col min="2" max="2" width="7.109375" style="10" customWidth="1"/>
    <col min="3" max="4" width="11.5546875" style="10"/>
    <col min="5" max="5" width="13" style="10" customWidth="1"/>
    <col min="6" max="6" width="10.109375" style="10" customWidth="1"/>
    <col min="7" max="8" width="13" style="10" customWidth="1"/>
    <col min="9" max="27" width="12.44140625" style="10" hidden="1" customWidth="1"/>
    <col min="28" max="16384" width="11.5546875" style="10"/>
  </cols>
  <sheetData>
    <row r="1" spans="2:8" ht="40.200000000000003" customHeight="1"/>
    <row r="2" spans="2:8" ht="14.4">
      <c r="B2" s="265" t="s">
        <v>88</v>
      </c>
      <c r="C2" s="265"/>
      <c r="D2" s="265"/>
      <c r="E2" s="265"/>
      <c r="F2" s="265"/>
      <c r="G2" s="265"/>
      <c r="H2" s="265"/>
    </row>
    <row r="4" spans="2:8">
      <c r="B4" s="35" t="s">
        <v>89</v>
      </c>
    </row>
    <row r="5" spans="2:8">
      <c r="B5" s="35" t="s">
        <v>90</v>
      </c>
    </row>
    <row r="6" spans="2:8">
      <c r="B6" s="35" t="s">
        <v>185</v>
      </c>
    </row>
    <row r="7" spans="2:8">
      <c r="B7" s="35" t="s">
        <v>91</v>
      </c>
    </row>
    <row r="8" spans="2:8">
      <c r="B8" s="35"/>
    </row>
    <row r="9" spans="2:8">
      <c r="B9" s="35" t="s">
        <v>92</v>
      </c>
    </row>
    <row r="10" spans="2:8">
      <c r="B10" s="35" t="s">
        <v>156</v>
      </c>
    </row>
    <row r="11" spans="2:8">
      <c r="B11" s="35" t="s">
        <v>93</v>
      </c>
    </row>
    <row r="12" spans="2:8">
      <c r="B12" s="35" t="s">
        <v>186</v>
      </c>
    </row>
    <row r="13" spans="2:8">
      <c r="B13" s="35" t="s">
        <v>236</v>
      </c>
    </row>
    <row r="14" spans="2:8">
      <c r="B14" s="35" t="s">
        <v>237</v>
      </c>
    </row>
    <row r="15" spans="2:8">
      <c r="B15" s="35"/>
    </row>
    <row r="16" spans="2:8">
      <c r="B16" s="35" t="s">
        <v>94</v>
      </c>
    </row>
    <row r="17" spans="2:27">
      <c r="B17" s="35" t="s">
        <v>95</v>
      </c>
    </row>
    <row r="18" spans="2:27">
      <c r="B18" s="221" t="str">
        <f>IF(J20&gt;0,"ATTENTION : il ne peut y avoir de facteur à un seul niveau","")</f>
        <v/>
      </c>
    </row>
    <row r="19" spans="2:27">
      <c r="B19" s="221" t="str">
        <f>IF(J21&gt;0,"ATTENTION : le nombre maximal de niveaux est 20","")</f>
        <v/>
      </c>
    </row>
    <row r="20" spans="2:27">
      <c r="C20" s="228" t="s">
        <v>96</v>
      </c>
      <c r="D20" s="229"/>
      <c r="E20" s="230"/>
      <c r="H20" s="222"/>
      <c r="I20" s="35" t="s">
        <v>97</v>
      </c>
      <c r="J20" s="10">
        <f>COUNTIF(D24:D53,1)</f>
        <v>0</v>
      </c>
    </row>
    <row r="21" spans="2:27">
      <c r="C21" s="231" t="s">
        <v>157</v>
      </c>
      <c r="D21" s="232"/>
      <c r="E21" s="233">
        <f>I26*J26*K26*L26*M26*N26*O26*P26*Q26*R26*S26*T26*U26*V26*W26*X26*Y26*Z26*AA26</f>
        <v>24</v>
      </c>
      <c r="H21" s="222"/>
      <c r="I21" s="35" t="s">
        <v>98</v>
      </c>
      <c r="J21" s="10">
        <f>COUNTIF(D24:D53,"&gt;20")</f>
        <v>0</v>
      </c>
    </row>
    <row r="23" spans="2:27">
      <c r="C23" s="223" t="s">
        <v>4</v>
      </c>
      <c r="D23" s="224" t="s">
        <v>99</v>
      </c>
      <c r="E23" s="35"/>
      <c r="F23" s="35"/>
      <c r="G23" s="35"/>
      <c r="I23" s="148" t="s">
        <v>100</v>
      </c>
      <c r="J23" s="148" t="s">
        <v>101</v>
      </c>
      <c r="K23" s="148" t="s">
        <v>102</v>
      </c>
      <c r="L23" s="148" t="s">
        <v>103</v>
      </c>
      <c r="M23" s="148" t="s">
        <v>104</v>
      </c>
      <c r="N23" s="148" t="s">
        <v>105</v>
      </c>
      <c r="O23" s="148" t="s">
        <v>106</v>
      </c>
      <c r="P23" s="148" t="s">
        <v>107</v>
      </c>
      <c r="Q23" s="148" t="s">
        <v>108</v>
      </c>
      <c r="R23" s="148" t="s">
        <v>109</v>
      </c>
      <c r="S23" s="148" t="s">
        <v>110</v>
      </c>
      <c r="T23" s="148" t="s">
        <v>111</v>
      </c>
      <c r="U23" s="148" t="s">
        <v>112</v>
      </c>
      <c r="V23" s="148" t="s">
        <v>113</v>
      </c>
      <c r="W23" s="148" t="s">
        <v>114</v>
      </c>
      <c r="X23" s="148" t="s">
        <v>115</v>
      </c>
      <c r="Y23" s="148" t="s">
        <v>116</v>
      </c>
      <c r="Z23" s="148" t="s">
        <v>117</v>
      </c>
      <c r="AA23" s="148" t="s">
        <v>118</v>
      </c>
    </row>
    <row r="24" spans="2:27">
      <c r="C24" s="225" t="s">
        <v>119</v>
      </c>
      <c r="D24" s="6">
        <v>3</v>
      </c>
      <c r="I24" s="12">
        <f>COUNTIF($D$24:$D$53,2)</f>
        <v>3</v>
      </c>
      <c r="J24" s="12">
        <f>COUNTIF($D$24:$D$53,3)</f>
        <v>1</v>
      </c>
      <c r="K24" s="12">
        <f>COUNTIF($D$24:$D$53,4)</f>
        <v>0</v>
      </c>
      <c r="L24" s="12">
        <f>COUNTIF($D$24:$D$53,5)</f>
        <v>0</v>
      </c>
      <c r="M24" s="12">
        <f>COUNTIF($D$24:$D$53,6)</f>
        <v>0</v>
      </c>
      <c r="N24" s="12">
        <f>COUNTIF($D$24:$D$53,7)</f>
        <v>0</v>
      </c>
      <c r="O24" s="12">
        <f>COUNTIF($D$24:$D$53,8)</f>
        <v>0</v>
      </c>
      <c r="P24" s="12">
        <f>COUNTIF($D$24:$D$53,9)</f>
        <v>0</v>
      </c>
      <c r="Q24" s="12">
        <f>COUNTIF($D$24:$D$53,10)</f>
        <v>0</v>
      </c>
      <c r="R24" s="12">
        <f>COUNTIF($D$24:$D$53,11)</f>
        <v>0</v>
      </c>
      <c r="S24" s="12">
        <f>COUNTIF($D$24:$D$53,12)</f>
        <v>0</v>
      </c>
      <c r="T24" s="12">
        <f>COUNTIF($D$24:$D$53,13)</f>
        <v>0</v>
      </c>
      <c r="U24" s="12">
        <f>COUNTIF($D$24:$D$53,14)</f>
        <v>0</v>
      </c>
      <c r="V24" s="12">
        <f>COUNTIF($D$24:$D$53,15)</f>
        <v>0</v>
      </c>
      <c r="W24" s="12">
        <f>COUNTIF($D$24:$D$53,16)</f>
        <v>0</v>
      </c>
      <c r="X24" s="12">
        <f>COUNTIF($D$24:$D$53,17)</f>
        <v>0</v>
      </c>
      <c r="Y24" s="12">
        <f>COUNTIF($D$24:$D$53,18)</f>
        <v>0</v>
      </c>
      <c r="Z24" s="12">
        <f>COUNTIF($D$24:$D$53,19)</f>
        <v>0</v>
      </c>
      <c r="AA24" s="12">
        <f>COUNTIF($D$24:$D$53,20)</f>
        <v>0</v>
      </c>
    </row>
    <row r="25" spans="2:27">
      <c r="C25" s="225" t="s">
        <v>120</v>
      </c>
      <c r="D25" s="6">
        <v>2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</row>
    <row r="26" spans="2:27">
      <c r="C26" s="225" t="s">
        <v>121</v>
      </c>
      <c r="D26" s="6">
        <v>2</v>
      </c>
      <c r="I26" s="12">
        <f>IF(I24&gt;0,2^I24,1)</f>
        <v>8</v>
      </c>
      <c r="J26" s="12">
        <f>IF(J24&gt;0,3^J24,1)</f>
        <v>3</v>
      </c>
      <c r="K26" s="12">
        <f>IF(K24&gt;0,4^K24,1)</f>
        <v>1</v>
      </c>
      <c r="L26" s="12">
        <f>IF(L24&gt;0,5^L24,1)</f>
        <v>1</v>
      </c>
      <c r="M26" s="12">
        <f>IF(M24&gt;0,6^M24,1)</f>
        <v>1</v>
      </c>
      <c r="N26" s="12">
        <f>IF(N24&gt;0,7^N24,1)</f>
        <v>1</v>
      </c>
      <c r="O26" s="12">
        <f>IF(O24&gt;0,8^O24,1)</f>
        <v>1</v>
      </c>
      <c r="P26" s="12">
        <f>IF(P24&gt;0,9^P24,1)</f>
        <v>1</v>
      </c>
      <c r="Q26" s="12">
        <f>IF(Q24&gt;0,10^Q24,1)</f>
        <v>1</v>
      </c>
      <c r="R26" s="12">
        <f>IF(R24&gt;0,11^R24,1)</f>
        <v>1</v>
      </c>
      <c r="S26" s="12">
        <f>IF(S24&gt;0,12^S24,1)</f>
        <v>1</v>
      </c>
      <c r="T26" s="12">
        <f>IF(T24&gt;0,13^T24,1)</f>
        <v>1</v>
      </c>
      <c r="U26" s="12">
        <f>IF(U24&gt;0,14^U24,1)</f>
        <v>1</v>
      </c>
      <c r="V26" s="12">
        <f>IF(V24&gt;0,15^V24,1)</f>
        <v>1</v>
      </c>
      <c r="W26" s="12">
        <f>IF(W24&gt;0,16^W24,1)</f>
        <v>1</v>
      </c>
      <c r="X26" s="12">
        <f>IF(X24&gt;0,17^X24,1)</f>
        <v>1</v>
      </c>
      <c r="Y26" s="12">
        <f>IF(Y24&gt;0,18^Y24,1)</f>
        <v>1</v>
      </c>
      <c r="Z26" s="12">
        <f>IF(Z24&gt;0,19^Z24,1)</f>
        <v>1</v>
      </c>
      <c r="AA26" s="12">
        <f>IF(AA24&gt;0,20^AA24,1)</f>
        <v>1</v>
      </c>
    </row>
    <row r="27" spans="2:27">
      <c r="C27" s="225" t="s">
        <v>122</v>
      </c>
      <c r="D27" s="6">
        <v>2</v>
      </c>
    </row>
    <row r="28" spans="2:27">
      <c r="C28" s="225" t="s">
        <v>123</v>
      </c>
      <c r="D28" s="6">
        <v>0</v>
      </c>
    </row>
    <row r="29" spans="2:27">
      <c r="C29" s="225" t="s">
        <v>124</v>
      </c>
      <c r="D29" s="6">
        <v>0</v>
      </c>
    </row>
    <row r="30" spans="2:27">
      <c r="C30" s="225" t="s">
        <v>125</v>
      </c>
      <c r="D30" s="6">
        <v>0</v>
      </c>
    </row>
    <row r="31" spans="2:27">
      <c r="C31" s="225" t="s">
        <v>126</v>
      </c>
      <c r="D31" s="6">
        <v>0</v>
      </c>
    </row>
    <row r="32" spans="2:27">
      <c r="C32" s="225" t="s">
        <v>127</v>
      </c>
      <c r="D32" s="6">
        <v>0</v>
      </c>
    </row>
    <row r="33" spans="3:4">
      <c r="C33" s="225" t="s">
        <v>128</v>
      </c>
      <c r="D33" s="6">
        <v>0</v>
      </c>
    </row>
    <row r="34" spans="3:4">
      <c r="C34" s="225" t="s">
        <v>129</v>
      </c>
      <c r="D34" s="6">
        <v>0</v>
      </c>
    </row>
    <row r="35" spans="3:4">
      <c r="C35" s="225" t="s">
        <v>130</v>
      </c>
      <c r="D35" s="6">
        <v>0</v>
      </c>
    </row>
    <row r="36" spans="3:4">
      <c r="C36" s="225" t="s">
        <v>131</v>
      </c>
      <c r="D36" s="6">
        <v>0</v>
      </c>
    </row>
    <row r="37" spans="3:4">
      <c r="C37" s="225" t="s">
        <v>132</v>
      </c>
      <c r="D37" s="6">
        <v>0</v>
      </c>
    </row>
    <row r="38" spans="3:4">
      <c r="C38" s="225" t="s">
        <v>133</v>
      </c>
      <c r="D38" s="6">
        <v>0</v>
      </c>
    </row>
    <row r="39" spans="3:4">
      <c r="C39" s="225" t="s">
        <v>134</v>
      </c>
      <c r="D39" s="6">
        <v>0</v>
      </c>
    </row>
    <row r="40" spans="3:4">
      <c r="C40" s="225" t="s">
        <v>135</v>
      </c>
      <c r="D40" s="6">
        <v>0</v>
      </c>
    </row>
    <row r="41" spans="3:4">
      <c r="C41" s="225" t="s">
        <v>136</v>
      </c>
      <c r="D41" s="6">
        <v>0</v>
      </c>
    </row>
    <row r="42" spans="3:4">
      <c r="C42" s="225" t="s">
        <v>137</v>
      </c>
      <c r="D42" s="6">
        <v>0</v>
      </c>
    </row>
    <row r="43" spans="3:4">
      <c r="C43" s="225" t="s">
        <v>138</v>
      </c>
      <c r="D43" s="6">
        <v>0</v>
      </c>
    </row>
    <row r="44" spans="3:4">
      <c r="C44" s="225" t="s">
        <v>139</v>
      </c>
      <c r="D44" s="6">
        <v>0</v>
      </c>
    </row>
    <row r="45" spans="3:4">
      <c r="C45" s="225" t="s">
        <v>140</v>
      </c>
      <c r="D45" s="6">
        <v>0</v>
      </c>
    </row>
    <row r="46" spans="3:4">
      <c r="C46" s="225" t="s">
        <v>141</v>
      </c>
      <c r="D46" s="6">
        <v>0</v>
      </c>
    </row>
    <row r="47" spans="3:4">
      <c r="C47" s="225" t="s">
        <v>142</v>
      </c>
      <c r="D47" s="6">
        <v>0</v>
      </c>
    </row>
    <row r="48" spans="3:4">
      <c r="C48" s="225" t="s">
        <v>143</v>
      </c>
      <c r="D48" s="6">
        <v>0</v>
      </c>
    </row>
    <row r="49" spans="2:4">
      <c r="C49" s="225" t="s">
        <v>144</v>
      </c>
      <c r="D49" s="6">
        <v>0</v>
      </c>
    </row>
    <row r="50" spans="2:4">
      <c r="C50" s="225" t="s">
        <v>145</v>
      </c>
      <c r="D50" s="6">
        <v>0</v>
      </c>
    </row>
    <row r="51" spans="2:4">
      <c r="C51" s="225" t="s">
        <v>146</v>
      </c>
      <c r="D51" s="6">
        <v>0</v>
      </c>
    </row>
    <row r="52" spans="2:4">
      <c r="C52" s="225" t="s">
        <v>147</v>
      </c>
      <c r="D52" s="6">
        <v>0</v>
      </c>
    </row>
    <row r="53" spans="2:4">
      <c r="C53" s="225" t="s">
        <v>148</v>
      </c>
      <c r="D53" s="6">
        <v>0</v>
      </c>
    </row>
    <row r="55" spans="2:4">
      <c r="B55" s="226"/>
    </row>
    <row r="56" spans="2:4">
      <c r="B56" s="227" t="s">
        <v>184</v>
      </c>
    </row>
  </sheetData>
  <sheetProtection sheet="1" objects="1" scenarios="1"/>
  <mergeCells count="1">
    <mergeCell ref="B2:H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AE499"/>
  <sheetViews>
    <sheetView zoomScale="85" workbookViewId="0">
      <selection activeCell="D2" sqref="D2:H4"/>
    </sheetView>
  </sheetViews>
  <sheetFormatPr baseColWidth="10" defaultRowHeight="13.2"/>
  <cols>
    <col min="1" max="1" width="16.109375" style="10" customWidth="1"/>
    <col min="2" max="2" width="13.33203125" style="10" customWidth="1"/>
    <col min="3" max="5" width="11.5546875" style="10"/>
    <col min="6" max="6" width="13.33203125" style="10" customWidth="1"/>
    <col min="7" max="7" width="11.5546875" style="10"/>
    <col min="8" max="8" width="13.88671875" style="10" customWidth="1"/>
    <col min="9" max="9" width="13.21875" style="10" customWidth="1"/>
    <col min="10" max="13" width="11.5546875" style="10"/>
    <col min="14" max="15" width="7.33203125" style="10" customWidth="1"/>
    <col min="16" max="16" width="7" style="10" customWidth="1"/>
    <col min="17" max="18" width="7.33203125" style="10" customWidth="1"/>
    <col min="19" max="19" width="6.6640625" style="10" customWidth="1"/>
    <col min="20" max="20" width="7" style="10" customWidth="1"/>
    <col min="21" max="22" width="7.109375" style="10" customWidth="1"/>
    <col min="23" max="23" width="6.33203125" style="10" customWidth="1"/>
    <col min="24" max="24" width="6.6640625" style="10" customWidth="1"/>
    <col min="25" max="25" width="7.33203125" style="10" customWidth="1"/>
    <col min="26" max="26" width="7" style="10" customWidth="1"/>
    <col min="27" max="27" width="7.33203125" style="10" customWidth="1"/>
    <col min="28" max="28" width="6.6640625" style="10" customWidth="1"/>
    <col min="29" max="29" width="5.6640625" style="10" customWidth="1"/>
    <col min="30" max="31" width="6.33203125" style="10" customWidth="1"/>
    <col min="32" max="16384" width="11.5546875" style="10"/>
  </cols>
  <sheetData>
    <row r="2" spans="1:31" ht="16.2">
      <c r="D2" s="266" t="s">
        <v>179</v>
      </c>
      <c r="E2" s="266"/>
      <c r="F2" s="266"/>
      <c r="G2" s="266"/>
      <c r="H2" s="266"/>
    </row>
    <row r="3" spans="1:31" ht="16.2">
      <c r="D3" s="266" t="s">
        <v>158</v>
      </c>
      <c r="E3" s="266"/>
      <c r="F3" s="266"/>
      <c r="G3" s="266"/>
      <c r="H3" s="266"/>
    </row>
    <row r="4" spans="1:31" ht="16.2">
      <c r="D4" s="266" t="s">
        <v>159</v>
      </c>
      <c r="E4" s="266"/>
      <c r="F4" s="266"/>
      <c r="G4" s="266"/>
      <c r="H4" s="266"/>
    </row>
    <row r="5" spans="1:31" ht="13.8" thickBot="1"/>
    <row r="6" spans="1:31" ht="14.4" thickBot="1">
      <c r="A6" s="38" t="s">
        <v>3</v>
      </c>
      <c r="B6" s="39"/>
      <c r="C6" s="39"/>
      <c r="D6" s="39"/>
      <c r="E6" s="50"/>
      <c r="F6" s="11"/>
    </row>
    <row r="7" spans="1:31" ht="13.8">
      <c r="A7" s="40"/>
      <c r="B7" s="41" t="s">
        <v>4</v>
      </c>
      <c r="C7" s="41" t="s">
        <v>5</v>
      </c>
      <c r="D7" s="41" t="s">
        <v>6</v>
      </c>
      <c r="E7" s="51" t="s">
        <v>7</v>
      </c>
      <c r="F7" s="11"/>
      <c r="G7" s="273" t="s">
        <v>8</v>
      </c>
      <c r="H7" s="274"/>
      <c r="I7" s="275"/>
      <c r="P7" s="12" t="str">
        <f>C8</f>
        <v>A1</v>
      </c>
      <c r="Q7" s="12" t="str">
        <f>D8</f>
        <v>A2</v>
      </c>
      <c r="R7" s="13" t="str">
        <f>E8</f>
        <v>A3</v>
      </c>
      <c r="S7" s="10" t="s">
        <v>59</v>
      </c>
      <c r="T7" s="14" t="str">
        <f>C9</f>
        <v>B1</v>
      </c>
      <c r="U7" s="14" t="str">
        <f>D9</f>
        <v>B2</v>
      </c>
      <c r="V7" s="14" t="str">
        <f>E9</f>
        <v>B3</v>
      </c>
      <c r="W7" s="10" t="s">
        <v>59</v>
      </c>
      <c r="X7" s="14" t="str">
        <f>C10</f>
        <v>C1</v>
      </c>
      <c r="Y7" s="14" t="str">
        <f>D10</f>
        <v>C2</v>
      </c>
      <c r="Z7" s="10" t="s">
        <v>59</v>
      </c>
      <c r="AA7" s="14" t="str">
        <f>C11</f>
        <v>D1</v>
      </c>
      <c r="AB7" s="14" t="str">
        <f>D11</f>
        <v>D2</v>
      </c>
      <c r="AC7" s="10" t="s">
        <v>59</v>
      </c>
      <c r="AD7" s="14" t="str">
        <f>C12</f>
        <v>E1</v>
      </c>
      <c r="AE7" s="14" t="str">
        <f>D12</f>
        <v>E2</v>
      </c>
    </row>
    <row r="8" spans="1:31" ht="13.8">
      <c r="A8" s="42" t="s">
        <v>9</v>
      </c>
      <c r="B8" s="48" t="s">
        <v>151</v>
      </c>
      <c r="C8" s="49" t="s">
        <v>160</v>
      </c>
      <c r="D8" s="49" t="s">
        <v>161</v>
      </c>
      <c r="E8" s="52" t="s">
        <v>162</v>
      </c>
      <c r="F8" s="11"/>
      <c r="G8" s="276" t="s">
        <v>150</v>
      </c>
      <c r="H8" s="277"/>
      <c r="I8" s="278"/>
      <c r="P8" s="12" t="str">
        <f>B8</f>
        <v xml:space="preserve">Fact.A </v>
      </c>
      <c r="Q8" s="12" t="str">
        <f>B8</f>
        <v xml:space="preserve">Fact.A </v>
      </c>
      <c r="R8" s="13" t="str">
        <f>B8</f>
        <v xml:space="preserve">Fact.A </v>
      </c>
      <c r="S8" s="10" t="s">
        <v>59</v>
      </c>
      <c r="T8" s="14" t="str">
        <f>B9</f>
        <v>Fact.B</v>
      </c>
      <c r="U8" s="14" t="str">
        <f>B9</f>
        <v>Fact.B</v>
      </c>
      <c r="V8" s="14" t="str">
        <f>B9</f>
        <v>Fact.B</v>
      </c>
      <c r="W8" s="10" t="s">
        <v>59</v>
      </c>
      <c r="X8" s="14" t="str">
        <f>B10</f>
        <v>Fact.C</v>
      </c>
      <c r="Y8" s="14" t="str">
        <f>B10</f>
        <v>Fact.C</v>
      </c>
      <c r="Z8" s="10" t="s">
        <v>59</v>
      </c>
      <c r="AA8" s="14" t="str">
        <f>B11</f>
        <v>Fact.D</v>
      </c>
      <c r="AB8" s="14" t="str">
        <f>B11</f>
        <v>Fact.D</v>
      </c>
      <c r="AC8" s="10" t="s">
        <v>59</v>
      </c>
      <c r="AD8" s="14" t="str">
        <f>B12</f>
        <v>Fact.E</v>
      </c>
      <c r="AE8" s="14" t="str">
        <f>B12</f>
        <v>Fact.E</v>
      </c>
    </row>
    <row r="9" spans="1:31" ht="14.4" thickBot="1">
      <c r="A9" s="42" t="s">
        <v>13</v>
      </c>
      <c r="B9" s="48" t="s">
        <v>152</v>
      </c>
      <c r="C9" s="49" t="s">
        <v>163</v>
      </c>
      <c r="D9" s="49" t="s">
        <v>164</v>
      </c>
      <c r="E9" s="52" t="s">
        <v>165</v>
      </c>
      <c r="F9" s="11"/>
      <c r="G9" s="279" t="s">
        <v>18</v>
      </c>
      <c r="H9" s="280"/>
      <c r="I9" s="281"/>
      <c r="O9" s="10" t="s">
        <v>51</v>
      </c>
      <c r="P9" s="15">
        <f>B90+C90</f>
        <v>33.614458333333339</v>
      </c>
      <c r="Q9" s="15">
        <f>B90+C91</f>
        <v>39.015833333333326</v>
      </c>
      <c r="R9" s="15">
        <f>B90+C92</f>
        <v>33.722624999999994</v>
      </c>
      <c r="T9" s="15">
        <f>B90+D90</f>
        <v>36.087375000000002</v>
      </c>
      <c r="U9" s="15">
        <f>B90+D91</f>
        <v>33.885583333333336</v>
      </c>
      <c r="V9" s="15">
        <f>B92+D92</f>
        <v>36.379958333333335</v>
      </c>
      <c r="X9" s="15">
        <f>B90+E90</f>
        <v>34.440666666666679</v>
      </c>
      <c r="Y9" s="15">
        <f>B90+E91</f>
        <v>36.461277777777767</v>
      </c>
      <c r="AA9" s="15">
        <f>B90+F90</f>
        <v>34.013611111111111</v>
      </c>
      <c r="AB9" s="15">
        <f>B90+F91</f>
        <v>36.888333333333335</v>
      </c>
      <c r="AD9" s="15">
        <f>B90+G90</f>
        <v>34.949194444444451</v>
      </c>
      <c r="AE9" s="15">
        <f>B90+G91</f>
        <v>35.952750000000002</v>
      </c>
    </row>
    <row r="10" spans="1:31">
      <c r="A10" s="42" t="s">
        <v>43</v>
      </c>
      <c r="B10" s="48" t="s">
        <v>153</v>
      </c>
      <c r="C10" s="49" t="s">
        <v>166</v>
      </c>
      <c r="D10" s="49" t="s">
        <v>167</v>
      </c>
      <c r="E10" s="53"/>
      <c r="O10" s="10" t="s">
        <v>26</v>
      </c>
      <c r="P10" s="15">
        <f>B90</f>
        <v>35.450972222222219</v>
      </c>
      <c r="Q10" s="15">
        <f>B90</f>
        <v>35.450972222222219</v>
      </c>
      <c r="R10" s="15">
        <f>B90</f>
        <v>35.450972222222219</v>
      </c>
      <c r="S10" s="15">
        <f>B90</f>
        <v>35.450972222222219</v>
      </c>
      <c r="T10" s="15">
        <f>B90</f>
        <v>35.450972222222219</v>
      </c>
      <c r="U10" s="15">
        <f>B90</f>
        <v>35.450972222222219</v>
      </c>
      <c r="V10" s="15">
        <f>B90</f>
        <v>35.450972222222219</v>
      </c>
      <c r="W10" s="15">
        <f>B90</f>
        <v>35.450972222222219</v>
      </c>
      <c r="X10" s="15">
        <f>B90</f>
        <v>35.450972222222219</v>
      </c>
      <c r="Y10" s="15">
        <f>B90</f>
        <v>35.450972222222219</v>
      </c>
      <c r="Z10" s="15">
        <f>B90</f>
        <v>35.450972222222219</v>
      </c>
      <c r="AA10" s="15">
        <f>B90</f>
        <v>35.450972222222219</v>
      </c>
      <c r="AB10" s="15">
        <f>B90</f>
        <v>35.450972222222219</v>
      </c>
      <c r="AC10" s="15">
        <f>B90</f>
        <v>35.450972222222219</v>
      </c>
      <c r="AD10" s="15">
        <f>B90</f>
        <v>35.450972222222219</v>
      </c>
      <c r="AE10" s="15">
        <f>B90</f>
        <v>35.450972222222219</v>
      </c>
    </row>
    <row r="11" spans="1:31">
      <c r="A11" s="42" t="s">
        <v>50</v>
      </c>
      <c r="B11" s="48" t="s">
        <v>154</v>
      </c>
      <c r="C11" s="49" t="s">
        <v>168</v>
      </c>
      <c r="D11" s="49" t="s">
        <v>169</v>
      </c>
      <c r="E11" s="53"/>
    </row>
    <row r="12" spans="1:31" ht="13.8" thickBot="1">
      <c r="A12" s="54" t="s">
        <v>54</v>
      </c>
      <c r="B12" s="55" t="s">
        <v>155</v>
      </c>
      <c r="C12" s="56" t="s">
        <v>170</v>
      </c>
      <c r="D12" s="56" t="s">
        <v>171</v>
      </c>
      <c r="E12" s="57"/>
      <c r="H12" s="16" t="s">
        <v>149</v>
      </c>
    </row>
    <row r="13" spans="1:31">
      <c r="H13" s="17"/>
      <c r="I13" s="18"/>
      <c r="J13" s="18"/>
      <c r="K13" s="18"/>
    </row>
    <row r="14" spans="1:31" ht="13.8">
      <c r="A14" s="43" t="s">
        <v>19</v>
      </c>
      <c r="B14" s="44" t="str">
        <f>B8</f>
        <v xml:space="preserve">Fact.A </v>
      </c>
      <c r="C14" s="44" t="str">
        <f>B9</f>
        <v>Fact.B</v>
      </c>
      <c r="D14" s="44" t="str">
        <f>B10</f>
        <v>Fact.C</v>
      </c>
      <c r="E14" s="44" t="str">
        <f>B11</f>
        <v>Fact.D</v>
      </c>
      <c r="F14" s="44" t="str">
        <f>B12</f>
        <v>Fact.E</v>
      </c>
      <c r="G14" s="43" t="s">
        <v>20</v>
      </c>
      <c r="H14" s="45" t="s">
        <v>21</v>
      </c>
      <c r="I14" s="45" t="s">
        <v>22</v>
      </c>
      <c r="J14" s="45" t="s">
        <v>23</v>
      </c>
      <c r="K14" s="45" t="s">
        <v>24</v>
      </c>
      <c r="L14" s="45" t="s">
        <v>25</v>
      </c>
      <c r="M14" s="19"/>
    </row>
    <row r="15" spans="1:31">
      <c r="A15" s="46">
        <v>1</v>
      </c>
      <c r="B15" s="47" t="str">
        <f>C$8</f>
        <v>A1</v>
      </c>
      <c r="C15" s="47" t="str">
        <f>C$9</f>
        <v>B1</v>
      </c>
      <c r="D15" s="47" t="str">
        <f>C$10</f>
        <v>C1</v>
      </c>
      <c r="E15" s="47" t="str">
        <f>C$11</f>
        <v>D1</v>
      </c>
      <c r="F15" s="47" t="str">
        <f>C$12</f>
        <v>E1</v>
      </c>
      <c r="G15" s="41">
        <f>MEDIAN(H15:L15)</f>
        <v>31</v>
      </c>
      <c r="H15" s="102">
        <v>31</v>
      </c>
      <c r="I15" s="102"/>
      <c r="J15" s="102"/>
      <c r="K15" s="102"/>
      <c r="L15" s="102"/>
    </row>
    <row r="16" spans="1:31">
      <c r="A16" s="46">
        <v>2</v>
      </c>
      <c r="B16" s="47" t="str">
        <f t="shared" ref="B16:B38" si="0">C$8</f>
        <v>A1</v>
      </c>
      <c r="C16" s="47" t="str">
        <f t="shared" ref="C16:C22" si="1">C$9</f>
        <v>B1</v>
      </c>
      <c r="D16" s="47" t="str">
        <f t="shared" ref="D16:D18" si="2">C$10</f>
        <v>C1</v>
      </c>
      <c r="E16" s="47" t="str">
        <f>C$11</f>
        <v>D1</v>
      </c>
      <c r="F16" s="47" t="str">
        <f>D$12</f>
        <v>E2</v>
      </c>
      <c r="G16" s="41">
        <f>MEDIAN(H16:L16)</f>
        <v>22.067</v>
      </c>
      <c r="H16" s="102">
        <v>22.067</v>
      </c>
      <c r="I16" s="102"/>
      <c r="J16" s="102"/>
      <c r="K16" s="102"/>
      <c r="L16" s="102"/>
    </row>
    <row r="17" spans="1:27">
      <c r="A17" s="46">
        <v>3</v>
      </c>
      <c r="B17" s="47" t="str">
        <f t="shared" si="0"/>
        <v>A1</v>
      </c>
      <c r="C17" s="47" t="str">
        <f t="shared" si="1"/>
        <v>B1</v>
      </c>
      <c r="D17" s="47" t="str">
        <f t="shared" si="2"/>
        <v>C1</v>
      </c>
      <c r="E17" s="47" t="str">
        <f>D$11</f>
        <v>D2</v>
      </c>
      <c r="F17" s="47" t="str">
        <f>C$12</f>
        <v>E1</v>
      </c>
      <c r="G17" s="41">
        <f>MEDIAN(H17:L17)</f>
        <v>39.76</v>
      </c>
      <c r="H17" s="102">
        <v>39.76</v>
      </c>
      <c r="I17" s="102"/>
      <c r="J17" s="102"/>
      <c r="K17" s="102"/>
      <c r="L17" s="102"/>
    </row>
    <row r="18" spans="1:27">
      <c r="A18" s="46">
        <v>4</v>
      </c>
      <c r="B18" s="47" t="str">
        <f t="shared" si="0"/>
        <v>A1</v>
      </c>
      <c r="C18" s="47" t="str">
        <f t="shared" si="1"/>
        <v>B1</v>
      </c>
      <c r="D18" s="47" t="str">
        <f t="shared" si="2"/>
        <v>C1</v>
      </c>
      <c r="E18" s="47" t="str">
        <f>D$11</f>
        <v>D2</v>
      </c>
      <c r="F18" s="47" t="str">
        <f>D$12</f>
        <v>E2</v>
      </c>
      <c r="G18" s="41">
        <f>MEDIAN(H18:L18)</f>
        <v>37.051000000000002</v>
      </c>
      <c r="H18" s="102">
        <v>37.051000000000002</v>
      </c>
      <c r="I18" s="102"/>
      <c r="J18" s="102"/>
      <c r="K18" s="102"/>
      <c r="L18" s="102"/>
    </row>
    <row r="19" spans="1:27">
      <c r="A19" s="46">
        <v>5</v>
      </c>
      <c r="B19" s="47" t="str">
        <f t="shared" si="0"/>
        <v>A1</v>
      </c>
      <c r="C19" s="47" t="str">
        <f t="shared" si="1"/>
        <v>B1</v>
      </c>
      <c r="D19" s="47" t="str">
        <f>D$10</f>
        <v>C2</v>
      </c>
      <c r="E19" s="47" t="str">
        <f>C$11</f>
        <v>D1</v>
      </c>
      <c r="F19" s="47" t="str">
        <f>C$12</f>
        <v>E1</v>
      </c>
      <c r="G19" s="41">
        <f t="shared" ref="G19:G28" si="3">MEDIAN(H19:L19)</f>
        <v>36.210999999999999</v>
      </c>
      <c r="H19" s="102">
        <v>36.210999999999999</v>
      </c>
      <c r="I19" s="102"/>
      <c r="J19" s="102"/>
      <c r="K19" s="102"/>
      <c r="L19" s="102"/>
      <c r="O19" s="15"/>
      <c r="Y19" s="15"/>
      <c r="Z19" s="15"/>
      <c r="AA19" s="15"/>
    </row>
    <row r="20" spans="1:27">
      <c r="A20" s="46">
        <v>6</v>
      </c>
      <c r="B20" s="47" t="str">
        <f t="shared" si="0"/>
        <v>A1</v>
      </c>
      <c r="C20" s="47" t="str">
        <f t="shared" si="1"/>
        <v>B1</v>
      </c>
      <c r="D20" s="47" t="str">
        <f t="shared" ref="D20:D22" si="4">D$10</f>
        <v>C2</v>
      </c>
      <c r="E20" s="47" t="str">
        <f>C$11</f>
        <v>D1</v>
      </c>
      <c r="F20" s="47" t="str">
        <f>D$12</f>
        <v>E2</v>
      </c>
      <c r="G20" s="41">
        <f t="shared" si="3"/>
        <v>44.223999999999997</v>
      </c>
      <c r="H20" s="102">
        <v>44.223999999999997</v>
      </c>
      <c r="I20" s="102"/>
      <c r="J20" s="102"/>
      <c r="K20" s="102"/>
      <c r="L20" s="102"/>
    </row>
    <row r="21" spans="1:27">
      <c r="A21" s="46">
        <v>7</v>
      </c>
      <c r="B21" s="47" t="str">
        <f t="shared" si="0"/>
        <v>A1</v>
      </c>
      <c r="C21" s="47" t="str">
        <f t="shared" si="1"/>
        <v>B1</v>
      </c>
      <c r="D21" s="47" t="str">
        <f t="shared" si="4"/>
        <v>C2</v>
      </c>
      <c r="E21" s="47" t="str">
        <f>D$11</f>
        <v>D2</v>
      </c>
      <c r="F21" s="47" t="str">
        <f>C$12</f>
        <v>E1</v>
      </c>
      <c r="G21" s="41">
        <f t="shared" si="3"/>
        <v>22.92</v>
      </c>
      <c r="H21" s="102">
        <v>22.92</v>
      </c>
      <c r="I21" s="102"/>
      <c r="J21" s="102"/>
      <c r="K21" s="102"/>
      <c r="L21" s="102"/>
      <c r="N21" s="20"/>
      <c r="O21" s="20"/>
      <c r="P21" s="20" t="str">
        <f>B8</f>
        <v xml:space="preserve">Fact.A </v>
      </c>
      <c r="Q21" s="20" t="str">
        <f>B8</f>
        <v xml:space="preserve">Fact.A </v>
      </c>
      <c r="R21" s="14" t="str">
        <f>B8</f>
        <v xml:space="preserve">Fact.A </v>
      </c>
      <c r="S21" s="21" t="s">
        <v>52</v>
      </c>
    </row>
    <row r="22" spans="1:27">
      <c r="A22" s="46">
        <v>8</v>
      </c>
      <c r="B22" s="47" t="str">
        <f t="shared" si="0"/>
        <v>A1</v>
      </c>
      <c r="C22" s="47" t="str">
        <f t="shared" si="1"/>
        <v>B1</v>
      </c>
      <c r="D22" s="47" t="str">
        <f t="shared" si="4"/>
        <v>C2</v>
      </c>
      <c r="E22" s="47" t="str">
        <f>D$11</f>
        <v>D2</v>
      </c>
      <c r="F22" s="47" t="str">
        <f>D$12</f>
        <v>E2</v>
      </c>
      <c r="G22" s="41">
        <f t="shared" si="3"/>
        <v>36.008000000000003</v>
      </c>
      <c r="H22" s="102">
        <v>36.008000000000003</v>
      </c>
      <c r="I22" s="102"/>
      <c r="J22" s="102"/>
      <c r="K22" s="102"/>
      <c r="L22" s="102"/>
      <c r="N22" s="20"/>
      <c r="O22" s="20"/>
      <c r="P22" s="20" t="str">
        <f>C8</f>
        <v>A1</v>
      </c>
      <c r="Q22" s="20" t="str">
        <f>D8</f>
        <v>A2</v>
      </c>
      <c r="R22" s="14" t="str">
        <f>E8</f>
        <v>A3</v>
      </c>
      <c r="S22" s="20"/>
    </row>
    <row r="23" spans="1:27">
      <c r="A23" s="46">
        <v>9</v>
      </c>
      <c r="B23" s="47" t="str">
        <f t="shared" si="0"/>
        <v>A1</v>
      </c>
      <c r="C23" s="47" t="str">
        <f>D$9</f>
        <v>B2</v>
      </c>
      <c r="D23" s="47" t="str">
        <f>C$10</f>
        <v>C1</v>
      </c>
      <c r="E23" s="47" t="str">
        <f>C$11</f>
        <v>D1</v>
      </c>
      <c r="F23" s="47" t="str">
        <f>C$12</f>
        <v>E1</v>
      </c>
      <c r="G23" s="41">
        <f t="shared" si="3"/>
        <v>22.044</v>
      </c>
      <c r="H23" s="102">
        <v>22.044</v>
      </c>
      <c r="I23" s="102"/>
      <c r="J23" s="102"/>
      <c r="K23" s="102"/>
      <c r="L23" s="102"/>
      <c r="N23" s="14" t="str">
        <f>C9</f>
        <v>B1</v>
      </c>
      <c r="O23" s="20" t="str">
        <f>B9</f>
        <v>Fact.B</v>
      </c>
      <c r="P23" s="22">
        <f>AVERAGE(va1b1)</f>
        <v>33.655124999999998</v>
      </c>
      <c r="Q23" s="22">
        <f>AVERAGE(va2b1)</f>
        <v>38.382624999999997</v>
      </c>
      <c r="R23" s="22">
        <f>AVERAGE(va3b1)</f>
        <v>36.224375000000002</v>
      </c>
      <c r="S23" s="20"/>
    </row>
    <row r="24" spans="1:27">
      <c r="A24" s="46">
        <v>10</v>
      </c>
      <c r="B24" s="47" t="str">
        <f t="shared" si="0"/>
        <v>A1</v>
      </c>
      <c r="C24" s="47" t="str">
        <f t="shared" ref="C24:C30" si="5">D$9</f>
        <v>B2</v>
      </c>
      <c r="D24" s="47" t="str">
        <f t="shared" ref="D24:D26" si="6">C$10</f>
        <v>C1</v>
      </c>
      <c r="E24" s="47" t="str">
        <f>C$11</f>
        <v>D1</v>
      </c>
      <c r="F24" s="47" t="str">
        <f>D$12</f>
        <v>E2</v>
      </c>
      <c r="G24" s="41">
        <f t="shared" si="3"/>
        <v>24.526</v>
      </c>
      <c r="H24" s="102">
        <v>24.526</v>
      </c>
      <c r="I24" s="102"/>
      <c r="J24" s="102"/>
      <c r="K24" s="102"/>
      <c r="L24" s="102"/>
      <c r="N24" s="14" t="str">
        <f>D9</f>
        <v>B2</v>
      </c>
      <c r="O24" s="14" t="str">
        <f>B9</f>
        <v>Fact.B</v>
      </c>
      <c r="P24" s="22">
        <f>AVERAGE(va1b2)</f>
        <v>31.617625</v>
      </c>
      <c r="Q24" s="22">
        <f>AVERAGE(va2b2)</f>
        <v>36.606750000000005</v>
      </c>
      <c r="R24" s="22">
        <f>AVERAGE(va3b2)</f>
        <v>33.432375</v>
      </c>
      <c r="S24" s="20"/>
    </row>
    <row r="25" spans="1:27">
      <c r="A25" s="46">
        <v>11</v>
      </c>
      <c r="B25" s="47" t="str">
        <f t="shared" si="0"/>
        <v>A1</v>
      </c>
      <c r="C25" s="47" t="str">
        <f t="shared" si="5"/>
        <v>B2</v>
      </c>
      <c r="D25" s="47" t="str">
        <f t="shared" si="6"/>
        <v>C1</v>
      </c>
      <c r="E25" s="47" t="str">
        <f>D$11</f>
        <v>D2</v>
      </c>
      <c r="F25" s="47" t="str">
        <f>C$12</f>
        <v>E1</v>
      </c>
      <c r="G25" s="41">
        <f t="shared" si="3"/>
        <v>40.853000000000002</v>
      </c>
      <c r="H25" s="102">
        <v>40.853000000000002</v>
      </c>
      <c r="I25" s="102"/>
      <c r="J25" s="102"/>
      <c r="K25" s="102"/>
      <c r="L25" s="102"/>
      <c r="N25" s="14" t="str">
        <f>E9</f>
        <v>B3</v>
      </c>
      <c r="O25" s="14" t="str">
        <f>B9</f>
        <v>Fact.B</v>
      </c>
      <c r="P25" s="22">
        <f>AVERAGE(va1b3)</f>
        <v>35.570625</v>
      </c>
      <c r="Q25" s="22">
        <f>AVERAGE(va2b3)</f>
        <v>42.058125000000004</v>
      </c>
      <c r="R25" s="22">
        <f>AVERAGE(va3b3)</f>
        <v>31.511125000000003</v>
      </c>
      <c r="S25" s="20"/>
    </row>
    <row r="26" spans="1:27">
      <c r="A26" s="46">
        <v>12</v>
      </c>
      <c r="B26" s="47" t="str">
        <f t="shared" si="0"/>
        <v>A1</v>
      </c>
      <c r="C26" s="47" t="str">
        <f t="shared" si="5"/>
        <v>B2</v>
      </c>
      <c r="D26" s="47" t="str">
        <f t="shared" si="6"/>
        <v>C1</v>
      </c>
      <c r="E26" s="47" t="str">
        <f>D$11</f>
        <v>D2</v>
      </c>
      <c r="F26" s="47" t="str">
        <f>D$12</f>
        <v>E2</v>
      </c>
      <c r="G26" s="41">
        <f t="shared" si="3"/>
        <v>38.962000000000003</v>
      </c>
      <c r="H26" s="102">
        <v>38.962000000000003</v>
      </c>
      <c r="I26" s="102"/>
      <c r="J26" s="102"/>
      <c r="K26" s="102"/>
      <c r="L26" s="102"/>
      <c r="N26" s="10" t="s">
        <v>59</v>
      </c>
      <c r="P26" s="22"/>
      <c r="Q26" s="22"/>
      <c r="R26" s="22"/>
      <c r="S26" s="20"/>
    </row>
    <row r="27" spans="1:27">
      <c r="A27" s="46">
        <v>13</v>
      </c>
      <c r="B27" s="47" t="str">
        <f t="shared" si="0"/>
        <v>A1</v>
      </c>
      <c r="C27" s="47" t="str">
        <f t="shared" si="5"/>
        <v>B2</v>
      </c>
      <c r="D27" s="47" t="str">
        <f>D$10</f>
        <v>C2</v>
      </c>
      <c r="E27" s="47" t="str">
        <f>C$11</f>
        <v>D1</v>
      </c>
      <c r="F27" s="47" t="str">
        <f>C$12</f>
        <v>E1</v>
      </c>
      <c r="G27" s="41">
        <f t="shared" si="3"/>
        <v>43.155000000000001</v>
      </c>
      <c r="H27" s="102">
        <v>43.155000000000001</v>
      </c>
      <c r="I27" s="102"/>
      <c r="J27" s="102"/>
      <c r="K27" s="102"/>
      <c r="L27" s="102"/>
      <c r="N27" s="20" t="str">
        <f>C10</f>
        <v>C1</v>
      </c>
      <c r="O27" s="20" t="str">
        <f>B10</f>
        <v>Fact.C</v>
      </c>
      <c r="P27" s="22">
        <f>AVERAGE(va1c1)</f>
        <v>31.83283333333333</v>
      </c>
      <c r="Q27" s="22">
        <f>AVERAGE(va2c1)</f>
        <v>38.971666666666671</v>
      </c>
      <c r="R27" s="22">
        <f>AVERAGE(va3c1)</f>
        <v>32.517499999999998</v>
      </c>
      <c r="S27" s="20"/>
    </row>
    <row r="28" spans="1:27">
      <c r="A28" s="46">
        <v>14</v>
      </c>
      <c r="B28" s="47" t="str">
        <f t="shared" si="0"/>
        <v>A1</v>
      </c>
      <c r="C28" s="47" t="str">
        <f t="shared" si="5"/>
        <v>B2</v>
      </c>
      <c r="D28" s="47" t="str">
        <f t="shared" ref="D28:D30" si="7">D$10</f>
        <v>C2</v>
      </c>
      <c r="E28" s="47" t="str">
        <f>C$11</f>
        <v>D1</v>
      </c>
      <c r="F28" s="47" t="str">
        <f>D$12</f>
        <v>E2</v>
      </c>
      <c r="G28" s="41">
        <f t="shared" si="3"/>
        <v>20.640999999999998</v>
      </c>
      <c r="H28" s="102">
        <v>20.640999999999998</v>
      </c>
      <c r="I28" s="102"/>
      <c r="J28" s="102"/>
      <c r="K28" s="102"/>
      <c r="L28" s="102"/>
      <c r="N28" s="20" t="str">
        <f>D10</f>
        <v>C2</v>
      </c>
      <c r="O28" s="20" t="str">
        <f>B10</f>
        <v>Fact.C</v>
      </c>
      <c r="P28" s="22">
        <f>AVERAGE(va1c2)</f>
        <v>35.39608333333333</v>
      </c>
      <c r="Q28" s="22">
        <f>AVERAGE(va2c2)</f>
        <v>39.06</v>
      </c>
      <c r="R28" s="22">
        <f>AVERAGE(va3c2)</f>
        <v>34.927749999999996</v>
      </c>
      <c r="S28" s="20"/>
    </row>
    <row r="29" spans="1:27">
      <c r="A29" s="46">
        <v>15</v>
      </c>
      <c r="B29" s="47" t="str">
        <f t="shared" si="0"/>
        <v>A1</v>
      </c>
      <c r="C29" s="47" t="str">
        <f t="shared" si="5"/>
        <v>B2</v>
      </c>
      <c r="D29" s="47" t="str">
        <f t="shared" si="7"/>
        <v>C2</v>
      </c>
      <c r="E29" s="47" t="str">
        <f>D$11</f>
        <v>D2</v>
      </c>
      <c r="F29" s="47" t="str">
        <f>C$12</f>
        <v>E1</v>
      </c>
      <c r="G29" s="41">
        <f t="shared" ref="G29:G49" si="8">MEDIAN(H29:L29)</f>
        <v>26.094000000000001</v>
      </c>
      <c r="H29" s="102">
        <v>26.094000000000001</v>
      </c>
      <c r="I29" s="102"/>
      <c r="J29" s="102"/>
      <c r="K29" s="102"/>
      <c r="L29" s="102"/>
      <c r="N29" s="10" t="s">
        <v>59</v>
      </c>
      <c r="P29" s="22"/>
      <c r="Q29" s="22"/>
      <c r="R29" s="22"/>
      <c r="S29" s="20"/>
    </row>
    <row r="30" spans="1:27">
      <c r="A30" s="46">
        <v>16</v>
      </c>
      <c r="B30" s="47" t="str">
        <f t="shared" si="0"/>
        <v>A1</v>
      </c>
      <c r="C30" s="47" t="str">
        <f t="shared" si="5"/>
        <v>B2</v>
      </c>
      <c r="D30" s="47" t="str">
        <f t="shared" si="7"/>
        <v>C2</v>
      </c>
      <c r="E30" s="47" t="str">
        <f>D$11</f>
        <v>D2</v>
      </c>
      <c r="F30" s="47" t="str">
        <f>D$12</f>
        <v>E2</v>
      </c>
      <c r="G30" s="41">
        <f t="shared" si="8"/>
        <v>36.665999999999997</v>
      </c>
      <c r="H30" s="102">
        <v>36.665999999999997</v>
      </c>
      <c r="I30" s="102"/>
      <c r="J30" s="102"/>
      <c r="K30" s="102"/>
      <c r="L30" s="102"/>
      <c r="N30" s="20" t="str">
        <f>C11</f>
        <v>D1</v>
      </c>
      <c r="O30" s="20" t="str">
        <f>B11</f>
        <v>Fact.D</v>
      </c>
      <c r="P30" s="22">
        <f>AVERAGE(va1d1)</f>
        <v>30.748416666666667</v>
      </c>
      <c r="Q30" s="22">
        <f>AVERAGE(va2d1)</f>
        <v>39.377083333333331</v>
      </c>
      <c r="R30" s="22">
        <f>AVERAGE(va3d1)</f>
        <v>31.915333333333336</v>
      </c>
      <c r="S30" s="20"/>
    </row>
    <row r="31" spans="1:27">
      <c r="A31" s="46">
        <v>17</v>
      </c>
      <c r="B31" s="47" t="str">
        <f t="shared" si="0"/>
        <v>A1</v>
      </c>
      <c r="C31" s="47" t="str">
        <f>E$9</f>
        <v>B3</v>
      </c>
      <c r="D31" s="47" t="str">
        <f>C$10</f>
        <v>C1</v>
      </c>
      <c r="E31" s="47" t="str">
        <f>C$11</f>
        <v>D1</v>
      </c>
      <c r="F31" s="47" t="str">
        <f>C$12</f>
        <v>E1</v>
      </c>
      <c r="G31" s="41">
        <f t="shared" si="8"/>
        <v>27.152000000000001</v>
      </c>
      <c r="H31" s="102">
        <v>27.152000000000001</v>
      </c>
      <c r="I31" s="102"/>
      <c r="J31" s="102"/>
      <c r="K31" s="102"/>
      <c r="L31" s="102"/>
      <c r="N31" s="20" t="str">
        <f>D11</f>
        <v>D2</v>
      </c>
      <c r="O31" s="20" t="str">
        <f>B11</f>
        <v>Fact.D</v>
      </c>
      <c r="P31" s="22">
        <f>AVERAGE(va1d2)</f>
        <v>36.480499999999999</v>
      </c>
      <c r="Q31" s="22">
        <f>AVERAGE(va2d2)</f>
        <v>38.654583333333335</v>
      </c>
      <c r="R31" s="22">
        <f>AVERAGE(va3d2)</f>
        <v>35.529916666666665</v>
      </c>
      <c r="S31" s="20"/>
    </row>
    <row r="32" spans="1:27">
      <c r="A32" s="46">
        <v>18</v>
      </c>
      <c r="B32" s="47" t="str">
        <f t="shared" si="0"/>
        <v>A1</v>
      </c>
      <c r="C32" s="47" t="str">
        <f t="shared" ref="C32:C38" si="9">E$9</f>
        <v>B3</v>
      </c>
      <c r="D32" s="47" t="str">
        <f t="shared" ref="D32:D34" si="10">C$10</f>
        <v>C1</v>
      </c>
      <c r="E32" s="47" t="str">
        <f>C$11</f>
        <v>D1</v>
      </c>
      <c r="F32" s="47" t="str">
        <f>D$12</f>
        <v>E2</v>
      </c>
      <c r="G32" s="41">
        <f t="shared" si="8"/>
        <v>25.106000000000002</v>
      </c>
      <c r="H32" s="102">
        <v>25.106000000000002</v>
      </c>
      <c r="I32" s="102"/>
      <c r="J32" s="102"/>
      <c r="K32" s="102"/>
      <c r="L32" s="102"/>
      <c r="N32" s="20" t="s">
        <v>59</v>
      </c>
      <c r="O32" s="20"/>
      <c r="P32" s="22"/>
      <c r="Q32" s="22"/>
      <c r="R32" s="22"/>
      <c r="S32" s="20"/>
    </row>
    <row r="33" spans="1:27">
      <c r="A33" s="46">
        <v>19</v>
      </c>
      <c r="B33" s="47" t="str">
        <f t="shared" si="0"/>
        <v>A1</v>
      </c>
      <c r="C33" s="47" t="str">
        <f t="shared" si="9"/>
        <v>B3</v>
      </c>
      <c r="D33" s="47" t="str">
        <f t="shared" si="10"/>
        <v>C1</v>
      </c>
      <c r="E33" s="47" t="str">
        <f>D$11</f>
        <v>D2</v>
      </c>
      <c r="F33" s="47" t="str">
        <f>C$12</f>
        <v>E1</v>
      </c>
      <c r="G33" s="41">
        <f t="shared" si="8"/>
        <v>29.940999999999999</v>
      </c>
      <c r="H33" s="102">
        <v>29.940999999999999</v>
      </c>
      <c r="I33" s="102"/>
      <c r="J33" s="102"/>
      <c r="K33" s="102"/>
      <c r="L33" s="102"/>
      <c r="N33" s="20" t="str">
        <f>C12</f>
        <v>E1</v>
      </c>
      <c r="O33" s="20" t="str">
        <f>B12</f>
        <v>Fact.E</v>
      </c>
      <c r="P33" s="22">
        <f>AVERAGE(va1e1)</f>
        <v>33.451416666666667</v>
      </c>
      <c r="Q33" s="22">
        <f>AVERAGE(va2e1)</f>
        <v>36.1935</v>
      </c>
      <c r="R33" s="22">
        <f>AVERAGE(va3e1)</f>
        <v>35.202666666666673</v>
      </c>
    </row>
    <row r="34" spans="1:27">
      <c r="A34" s="46">
        <v>20</v>
      </c>
      <c r="B34" s="47" t="str">
        <f t="shared" si="0"/>
        <v>A1</v>
      </c>
      <c r="C34" s="47" t="str">
        <f t="shared" si="9"/>
        <v>B3</v>
      </c>
      <c r="D34" s="47" t="str">
        <f t="shared" si="10"/>
        <v>C1</v>
      </c>
      <c r="E34" s="47" t="str">
        <f>D$11</f>
        <v>D2</v>
      </c>
      <c r="F34" s="47" t="str">
        <f>D$12</f>
        <v>E2</v>
      </c>
      <c r="G34" s="41">
        <f t="shared" si="8"/>
        <v>43.531999999999996</v>
      </c>
      <c r="H34" s="102">
        <v>43.531999999999996</v>
      </c>
      <c r="I34" s="102"/>
      <c r="J34" s="102"/>
      <c r="K34" s="102"/>
      <c r="L34" s="102"/>
      <c r="N34" s="14" t="str">
        <f>D12</f>
        <v>E2</v>
      </c>
      <c r="O34" s="14" t="str">
        <f>B12</f>
        <v>Fact.E</v>
      </c>
      <c r="P34" s="22">
        <f>AVERAGE(va1e2)</f>
        <v>33.777499999999996</v>
      </c>
      <c r="Q34" s="22">
        <f>AVERAGE(va2e2)</f>
        <v>41.838166666666666</v>
      </c>
      <c r="R34" s="22">
        <f>AVERAGE(va3e2)</f>
        <v>32.242583333333336</v>
      </c>
    </row>
    <row r="35" spans="1:27">
      <c r="A35" s="46">
        <v>21</v>
      </c>
      <c r="B35" s="47" t="str">
        <f t="shared" si="0"/>
        <v>A1</v>
      </c>
      <c r="C35" s="47" t="str">
        <f t="shared" si="9"/>
        <v>B3</v>
      </c>
      <c r="D35" s="47" t="str">
        <f>D$10</f>
        <v>C2</v>
      </c>
      <c r="E35" s="47" t="str">
        <f>C$11</f>
        <v>D1</v>
      </c>
      <c r="F35" s="47" t="str">
        <f>C$12</f>
        <v>E1</v>
      </c>
      <c r="G35" s="41">
        <f t="shared" si="8"/>
        <v>40.920999999999999</v>
      </c>
      <c r="H35" s="102">
        <v>40.920999999999999</v>
      </c>
      <c r="I35" s="102"/>
      <c r="J35" s="102"/>
      <c r="K35" s="102"/>
      <c r="L35" s="102"/>
      <c r="N35" s="14"/>
      <c r="O35" s="14"/>
      <c r="P35" s="23"/>
      <c r="Q35" s="23"/>
      <c r="R35" s="23"/>
    </row>
    <row r="36" spans="1:27">
      <c r="A36" s="46">
        <v>22</v>
      </c>
      <c r="B36" s="47" t="str">
        <f t="shared" si="0"/>
        <v>A1</v>
      </c>
      <c r="C36" s="47" t="str">
        <f t="shared" si="9"/>
        <v>B3</v>
      </c>
      <c r="D36" s="47" t="str">
        <f t="shared" ref="D36:D38" si="11">D$10</f>
        <v>C2</v>
      </c>
      <c r="E36" s="47" t="str">
        <f>C$11</f>
        <v>D1</v>
      </c>
      <c r="F36" s="47" t="str">
        <f>D$12</f>
        <v>E2</v>
      </c>
      <c r="G36" s="41">
        <f t="shared" si="8"/>
        <v>31.934000000000001</v>
      </c>
      <c r="H36" s="102">
        <v>31.934000000000001</v>
      </c>
      <c r="I36" s="102"/>
      <c r="J36" s="102"/>
      <c r="K36" s="102"/>
      <c r="L36" s="102"/>
      <c r="N36" s="14"/>
      <c r="O36" s="14"/>
      <c r="P36" s="23"/>
      <c r="Q36" s="23"/>
      <c r="R36" s="23"/>
    </row>
    <row r="37" spans="1:27">
      <c r="A37" s="46">
        <v>23</v>
      </c>
      <c r="B37" s="47" t="str">
        <f t="shared" si="0"/>
        <v>A1</v>
      </c>
      <c r="C37" s="47" t="str">
        <f t="shared" si="9"/>
        <v>B3</v>
      </c>
      <c r="D37" s="47" t="str">
        <f t="shared" si="11"/>
        <v>C2</v>
      </c>
      <c r="E37" s="47" t="str">
        <f>D$11</f>
        <v>D2</v>
      </c>
      <c r="F37" s="47" t="str">
        <f>C$12</f>
        <v>E1</v>
      </c>
      <c r="G37" s="41">
        <f t="shared" si="8"/>
        <v>41.366</v>
      </c>
      <c r="H37" s="102">
        <v>41.366</v>
      </c>
      <c r="I37" s="102"/>
      <c r="J37" s="102"/>
      <c r="K37" s="102"/>
      <c r="L37" s="102"/>
      <c r="N37" s="14"/>
      <c r="O37" s="14"/>
      <c r="P37" s="23"/>
      <c r="Q37" s="23"/>
      <c r="R37" s="23"/>
    </row>
    <row r="38" spans="1:27">
      <c r="A38" s="46">
        <v>24</v>
      </c>
      <c r="B38" s="47" t="str">
        <f t="shared" si="0"/>
        <v>A1</v>
      </c>
      <c r="C38" s="47" t="str">
        <f t="shared" si="9"/>
        <v>B3</v>
      </c>
      <c r="D38" s="47" t="str">
        <f t="shared" si="11"/>
        <v>C2</v>
      </c>
      <c r="E38" s="47" t="str">
        <f>D$11</f>
        <v>D2</v>
      </c>
      <c r="F38" s="47" t="str">
        <f>D$12</f>
        <v>E2</v>
      </c>
      <c r="G38" s="41">
        <f t="shared" si="8"/>
        <v>44.613</v>
      </c>
      <c r="H38" s="102">
        <v>44.613</v>
      </c>
      <c r="I38" s="102"/>
      <c r="J38" s="102"/>
      <c r="K38" s="102"/>
      <c r="L38" s="102"/>
      <c r="N38" s="14"/>
      <c r="O38" s="14"/>
      <c r="P38" s="23"/>
      <c r="Q38" s="23"/>
      <c r="R38" s="23"/>
    </row>
    <row r="39" spans="1:27">
      <c r="A39" s="46">
        <v>25</v>
      </c>
      <c r="B39" s="47" t="str">
        <f>D$8</f>
        <v>A2</v>
      </c>
      <c r="C39" s="47" t="str">
        <f>C$9</f>
        <v>B1</v>
      </c>
      <c r="D39" s="47" t="str">
        <f>C$10</f>
        <v>C1</v>
      </c>
      <c r="E39" s="47" t="str">
        <f>C$11</f>
        <v>D1</v>
      </c>
      <c r="F39" s="47" t="str">
        <f>C$12</f>
        <v>E1</v>
      </c>
      <c r="G39" s="41">
        <f t="shared" si="8"/>
        <v>48.395000000000003</v>
      </c>
      <c r="H39" s="102">
        <v>48.395000000000003</v>
      </c>
      <c r="I39" s="102"/>
      <c r="J39" s="102"/>
      <c r="K39" s="102"/>
      <c r="L39" s="102"/>
    </row>
    <row r="40" spans="1:27">
      <c r="A40" s="46">
        <v>26</v>
      </c>
      <c r="B40" s="47" t="str">
        <f t="shared" ref="B40:B62" si="12">D$8</f>
        <v>A2</v>
      </c>
      <c r="C40" s="47" t="str">
        <f t="shared" ref="C40:C46" si="13">C$9</f>
        <v>B1</v>
      </c>
      <c r="D40" s="47" t="str">
        <f t="shared" ref="D40:D42" si="14">C$10</f>
        <v>C1</v>
      </c>
      <c r="E40" s="47" t="str">
        <f>C$11</f>
        <v>D1</v>
      </c>
      <c r="F40" s="47" t="str">
        <f>D$12</f>
        <v>E2</v>
      </c>
      <c r="G40" s="41">
        <f t="shared" si="8"/>
        <v>47.034999999999997</v>
      </c>
      <c r="H40" s="102">
        <v>47.034999999999997</v>
      </c>
      <c r="I40" s="102"/>
      <c r="J40" s="102"/>
      <c r="K40" s="102"/>
      <c r="L40" s="102"/>
    </row>
    <row r="41" spans="1:27">
      <c r="A41" s="46">
        <v>27</v>
      </c>
      <c r="B41" s="47" t="str">
        <f t="shared" si="12"/>
        <v>A2</v>
      </c>
      <c r="C41" s="47" t="str">
        <f t="shared" si="13"/>
        <v>B1</v>
      </c>
      <c r="D41" s="47" t="str">
        <f t="shared" si="14"/>
        <v>C1</v>
      </c>
      <c r="E41" s="47" t="str">
        <f>D$11</f>
        <v>D2</v>
      </c>
      <c r="F41" s="47" t="str">
        <f>C$12</f>
        <v>E1</v>
      </c>
      <c r="G41" s="41">
        <f t="shared" si="8"/>
        <v>34.506999999999998</v>
      </c>
      <c r="H41" s="102">
        <v>34.506999999999998</v>
      </c>
      <c r="I41" s="102"/>
      <c r="J41" s="102"/>
      <c r="K41" s="102"/>
      <c r="L41" s="102"/>
      <c r="N41" s="20"/>
      <c r="O41" s="20"/>
      <c r="P41" s="20" t="str">
        <f>B9</f>
        <v>Fact.B</v>
      </c>
      <c r="Q41" s="20" t="str">
        <f>B9</f>
        <v>Fact.B</v>
      </c>
      <c r="R41" s="14" t="str">
        <f>B9</f>
        <v>Fact.B</v>
      </c>
      <c r="S41" s="24" t="s">
        <v>55</v>
      </c>
    </row>
    <row r="42" spans="1:27">
      <c r="A42" s="46">
        <v>28</v>
      </c>
      <c r="B42" s="47" t="str">
        <f t="shared" si="12"/>
        <v>A2</v>
      </c>
      <c r="C42" s="47" t="str">
        <f t="shared" si="13"/>
        <v>B1</v>
      </c>
      <c r="D42" s="47" t="str">
        <f t="shared" si="14"/>
        <v>C1</v>
      </c>
      <c r="E42" s="47" t="str">
        <f>D$11</f>
        <v>D2</v>
      </c>
      <c r="F42" s="47" t="str">
        <f>D$12</f>
        <v>E2</v>
      </c>
      <c r="G42" s="41">
        <f t="shared" si="8"/>
        <v>36.877000000000002</v>
      </c>
      <c r="H42" s="102">
        <v>36.877000000000002</v>
      </c>
      <c r="I42" s="102"/>
      <c r="J42" s="102"/>
      <c r="K42" s="102"/>
      <c r="L42" s="102"/>
      <c r="N42" s="20"/>
      <c r="O42" s="20"/>
      <c r="P42" s="20" t="str">
        <f>C9</f>
        <v>B1</v>
      </c>
      <c r="Q42" s="20" t="str">
        <f>D9</f>
        <v>B2</v>
      </c>
      <c r="R42" s="14" t="str">
        <f>E9</f>
        <v>B3</v>
      </c>
      <c r="S42" s="15"/>
      <c r="T42" s="15"/>
      <c r="W42" s="15"/>
      <c r="X42" s="15"/>
      <c r="Y42" s="15"/>
      <c r="Z42" s="15"/>
      <c r="AA42" s="15"/>
    </row>
    <row r="43" spans="1:27">
      <c r="A43" s="46">
        <v>29</v>
      </c>
      <c r="B43" s="47" t="str">
        <f t="shared" si="12"/>
        <v>A2</v>
      </c>
      <c r="C43" s="47" t="str">
        <f t="shared" si="13"/>
        <v>B1</v>
      </c>
      <c r="D43" s="47" t="str">
        <f>D$10</f>
        <v>C2</v>
      </c>
      <c r="E43" s="47" t="str">
        <f>C$11</f>
        <v>D1</v>
      </c>
      <c r="F43" s="47" t="str">
        <f>C$12</f>
        <v>E1</v>
      </c>
      <c r="G43" s="41">
        <f t="shared" si="8"/>
        <v>45.5</v>
      </c>
      <c r="H43" s="102">
        <v>45.5</v>
      </c>
      <c r="I43" s="102"/>
      <c r="J43" s="102"/>
      <c r="K43" s="102"/>
      <c r="L43" s="102"/>
      <c r="N43" s="14" t="str">
        <f>C10</f>
        <v>C1</v>
      </c>
      <c r="O43" s="20" t="str">
        <f>B10</f>
        <v>Fact.C</v>
      </c>
      <c r="P43" s="22">
        <f>AVERAGE(vb1c1)</f>
        <v>37.554499999999997</v>
      </c>
      <c r="Q43" s="22">
        <f>AVERAGE(vb2c1)</f>
        <v>31.528000000000002</v>
      </c>
      <c r="R43" s="22">
        <f>AVERAGE(vb3c1)</f>
        <v>34.2395</v>
      </c>
      <c r="Y43" s="15"/>
      <c r="Z43" s="15"/>
      <c r="AA43" s="15"/>
    </row>
    <row r="44" spans="1:27">
      <c r="A44" s="46">
        <v>30</v>
      </c>
      <c r="B44" s="47" t="str">
        <f t="shared" si="12"/>
        <v>A2</v>
      </c>
      <c r="C44" s="47" t="str">
        <f t="shared" si="13"/>
        <v>B1</v>
      </c>
      <c r="D44" s="47" t="str">
        <f t="shared" ref="D44:D46" si="15">D$10</f>
        <v>C2</v>
      </c>
      <c r="E44" s="47" t="str">
        <f>C$11</f>
        <v>D1</v>
      </c>
      <c r="F44" s="47" t="str">
        <f>D$12</f>
        <v>E2</v>
      </c>
      <c r="G44" s="41">
        <f t="shared" si="8"/>
        <v>47.128</v>
      </c>
      <c r="H44" s="102">
        <v>47.128</v>
      </c>
      <c r="I44" s="102"/>
      <c r="J44" s="102"/>
      <c r="K44" s="102"/>
      <c r="L44" s="102"/>
      <c r="N44" s="14" t="str">
        <f>D10</f>
        <v>C2</v>
      </c>
      <c r="O44" s="14" t="str">
        <f>B10</f>
        <v>Fact.C</v>
      </c>
      <c r="P44" s="22">
        <f>AVERAGE(vb1c2)</f>
        <v>34.620250000000006</v>
      </c>
      <c r="Q44" s="22">
        <f>AVERAGE(vb2c2)</f>
        <v>36.243166666666667</v>
      </c>
      <c r="R44" s="22">
        <f>AVERAGE(vb3c2)</f>
        <v>38.520416666666669</v>
      </c>
    </row>
    <row r="45" spans="1:27">
      <c r="A45" s="46">
        <v>31</v>
      </c>
      <c r="B45" s="47" t="str">
        <f t="shared" si="12"/>
        <v>A2</v>
      </c>
      <c r="C45" s="47" t="str">
        <f t="shared" si="13"/>
        <v>B1</v>
      </c>
      <c r="D45" s="47" t="str">
        <f t="shared" si="15"/>
        <v>C2</v>
      </c>
      <c r="E45" s="47" t="str">
        <f>D$11</f>
        <v>D2</v>
      </c>
      <c r="F45" s="47" t="str">
        <f>C$12</f>
        <v>E1</v>
      </c>
      <c r="G45" s="41">
        <f t="shared" si="8"/>
        <v>20.681000000000001</v>
      </c>
      <c r="H45" s="102">
        <v>20.681000000000001</v>
      </c>
      <c r="I45" s="102"/>
      <c r="J45" s="102"/>
      <c r="K45" s="102"/>
      <c r="L45" s="102"/>
      <c r="N45" s="20" t="s">
        <v>59</v>
      </c>
      <c r="O45" s="14"/>
      <c r="P45" s="22"/>
      <c r="Q45" s="22"/>
      <c r="R45" s="22"/>
    </row>
    <row r="46" spans="1:27">
      <c r="A46" s="46">
        <v>32</v>
      </c>
      <c r="B46" s="47" t="str">
        <f t="shared" si="12"/>
        <v>A2</v>
      </c>
      <c r="C46" s="47" t="str">
        <f t="shared" si="13"/>
        <v>B1</v>
      </c>
      <c r="D46" s="47" t="str">
        <f t="shared" si="15"/>
        <v>C2</v>
      </c>
      <c r="E46" s="47" t="str">
        <f>D$11</f>
        <v>D2</v>
      </c>
      <c r="F46" s="47" t="str">
        <f>D$12</f>
        <v>E2</v>
      </c>
      <c r="G46" s="41">
        <f t="shared" si="8"/>
        <v>26.937999999999999</v>
      </c>
      <c r="H46" s="102">
        <v>26.937999999999999</v>
      </c>
      <c r="I46" s="102"/>
      <c r="J46" s="102"/>
      <c r="K46" s="102"/>
      <c r="L46" s="102"/>
      <c r="N46" s="20" t="str">
        <f>C11</f>
        <v>D1</v>
      </c>
      <c r="O46" s="20" t="str">
        <f>B11</f>
        <v>Fact.D</v>
      </c>
      <c r="P46" s="22">
        <f>AVERAGE(vb1d1)</f>
        <v>37.939750000000004</v>
      </c>
      <c r="Q46" s="22">
        <f>AVERAGE(vb2d1)</f>
        <v>30.212083333333336</v>
      </c>
      <c r="R46" s="22">
        <f>AVERAGE(vb3d1)</f>
        <v>33.889000000000003</v>
      </c>
    </row>
    <row r="47" spans="1:27">
      <c r="A47" s="46">
        <v>33</v>
      </c>
      <c r="B47" s="47" t="str">
        <f t="shared" si="12"/>
        <v>A2</v>
      </c>
      <c r="C47" s="47" t="str">
        <f>D$9</f>
        <v>B2</v>
      </c>
      <c r="D47" s="47" t="str">
        <f>C$10</f>
        <v>C1</v>
      </c>
      <c r="E47" s="47" t="str">
        <f>C$11</f>
        <v>D1</v>
      </c>
      <c r="F47" s="47" t="str">
        <f>C$12</f>
        <v>E1</v>
      </c>
      <c r="G47" s="41">
        <f t="shared" si="8"/>
        <v>25.712</v>
      </c>
      <c r="H47" s="102">
        <v>25.712</v>
      </c>
      <c r="I47" s="102"/>
      <c r="J47" s="102"/>
      <c r="K47" s="102"/>
      <c r="L47" s="102"/>
      <c r="N47" s="20" t="str">
        <f>D11</f>
        <v>D2</v>
      </c>
      <c r="O47" s="20" t="str">
        <f>B11</f>
        <v>Fact.D</v>
      </c>
      <c r="P47" s="22">
        <f>AVERAGE(vb1d2)</f>
        <v>34.234999999999999</v>
      </c>
      <c r="Q47" s="22">
        <f>AVERAGE(vb2d2)</f>
        <v>37.559083333333341</v>
      </c>
      <c r="R47" s="22">
        <f>AVERAGE(vb3d2)</f>
        <v>38.870916666666666</v>
      </c>
    </row>
    <row r="48" spans="1:27">
      <c r="A48" s="46">
        <v>34</v>
      </c>
      <c r="B48" s="47" t="str">
        <f t="shared" si="12"/>
        <v>A2</v>
      </c>
      <c r="C48" s="47" t="str">
        <f t="shared" ref="C48:C54" si="16">D$9</f>
        <v>B2</v>
      </c>
      <c r="D48" s="47" t="str">
        <f t="shared" ref="D48:D50" si="17">C$10</f>
        <v>C1</v>
      </c>
      <c r="E48" s="47" t="str">
        <f>C$11</f>
        <v>D1</v>
      </c>
      <c r="F48" s="47" t="str">
        <f>D$12</f>
        <v>E2</v>
      </c>
      <c r="G48" s="41">
        <f t="shared" si="8"/>
        <v>26.844999999999999</v>
      </c>
      <c r="H48" s="102">
        <v>26.844999999999999</v>
      </c>
      <c r="I48" s="102"/>
      <c r="J48" s="102"/>
      <c r="K48" s="102"/>
      <c r="L48" s="102"/>
      <c r="N48" s="10" t="s">
        <v>59</v>
      </c>
      <c r="P48" s="22"/>
      <c r="Q48" s="22"/>
      <c r="R48" s="22"/>
    </row>
    <row r="49" spans="1:19">
      <c r="A49" s="46">
        <v>35</v>
      </c>
      <c r="B49" s="47" t="str">
        <f t="shared" si="12"/>
        <v>A2</v>
      </c>
      <c r="C49" s="47" t="str">
        <f t="shared" si="16"/>
        <v>B2</v>
      </c>
      <c r="D49" s="47" t="str">
        <f t="shared" si="17"/>
        <v>C1</v>
      </c>
      <c r="E49" s="47" t="str">
        <f>D$11</f>
        <v>D2</v>
      </c>
      <c r="F49" s="47" t="str">
        <f>C$12</f>
        <v>E1</v>
      </c>
      <c r="G49" s="41">
        <f t="shared" si="8"/>
        <v>45.835999999999999</v>
      </c>
      <c r="H49" s="102">
        <v>45.835999999999999</v>
      </c>
      <c r="I49" s="102"/>
      <c r="J49" s="102"/>
      <c r="K49" s="102"/>
      <c r="L49" s="102"/>
      <c r="N49" s="20" t="str">
        <f>C12</f>
        <v>E1</v>
      </c>
      <c r="O49" s="20" t="str">
        <f>B12</f>
        <v>Fact.E</v>
      </c>
      <c r="P49" s="22">
        <f>AVERAGE(vb1e1)</f>
        <v>36.241</v>
      </c>
      <c r="Q49" s="22">
        <f>AVERAGE(vb2e1)</f>
        <v>32.734833333333334</v>
      </c>
      <c r="R49" s="22">
        <f>AVERAGE(vb3e1)</f>
        <v>35.871750000000006</v>
      </c>
    </row>
    <row r="50" spans="1:19">
      <c r="A50" s="46">
        <v>36</v>
      </c>
      <c r="B50" s="47" t="str">
        <f t="shared" si="12"/>
        <v>A2</v>
      </c>
      <c r="C50" s="47" t="str">
        <f t="shared" si="16"/>
        <v>B2</v>
      </c>
      <c r="D50" s="47" t="str">
        <f t="shared" si="17"/>
        <v>C1</v>
      </c>
      <c r="E50" s="47" t="str">
        <f>D$11</f>
        <v>D2</v>
      </c>
      <c r="F50" s="47" t="str">
        <f>D$12</f>
        <v>E2</v>
      </c>
      <c r="G50" s="41">
        <f t="shared" ref="G50:G65" si="18">MEDIAN(H50:L50)</f>
        <v>42.442</v>
      </c>
      <c r="H50" s="102">
        <v>42.442</v>
      </c>
      <c r="I50" s="102"/>
      <c r="J50" s="102"/>
      <c r="K50" s="102"/>
      <c r="L50" s="102"/>
      <c r="N50" s="20" t="str">
        <f>D12</f>
        <v>E2</v>
      </c>
      <c r="O50" s="20" t="str">
        <f>B12</f>
        <v>Fact.E</v>
      </c>
      <c r="P50" s="22">
        <f>AVERAGE(vb1e2)</f>
        <v>35.933749999999996</v>
      </c>
      <c r="Q50" s="22">
        <f>AVERAGE(vb2e2)</f>
        <v>35.036333333333339</v>
      </c>
      <c r="R50" s="22">
        <f>AVERAGE(vb3e2)</f>
        <v>36.88816666666667</v>
      </c>
    </row>
    <row r="51" spans="1:19">
      <c r="A51" s="46">
        <v>37</v>
      </c>
      <c r="B51" s="47" t="str">
        <f t="shared" si="12"/>
        <v>A2</v>
      </c>
      <c r="C51" s="47" t="str">
        <f t="shared" si="16"/>
        <v>B2</v>
      </c>
      <c r="D51" s="47" t="str">
        <f>D$10</f>
        <v>C2</v>
      </c>
      <c r="E51" s="47" t="str">
        <f>C$11</f>
        <v>D1</v>
      </c>
      <c r="F51" s="47" t="str">
        <f>C$12</f>
        <v>E1</v>
      </c>
      <c r="G51" s="41">
        <f t="shared" si="18"/>
        <v>24.645</v>
      </c>
      <c r="H51" s="102">
        <v>24.645</v>
      </c>
      <c r="I51" s="102"/>
      <c r="J51" s="102"/>
      <c r="K51" s="102"/>
      <c r="L51" s="102"/>
      <c r="N51" s="20"/>
      <c r="O51" s="20"/>
      <c r="P51" s="20"/>
      <c r="Q51" s="20"/>
      <c r="R51" s="20"/>
    </row>
    <row r="52" spans="1:19">
      <c r="A52" s="46">
        <v>38</v>
      </c>
      <c r="B52" s="47" t="str">
        <f t="shared" si="12"/>
        <v>A2</v>
      </c>
      <c r="C52" s="47" t="str">
        <f t="shared" si="16"/>
        <v>B2</v>
      </c>
      <c r="D52" s="47" t="str">
        <f t="shared" ref="D52:D54" si="19">D$10</f>
        <v>C2</v>
      </c>
      <c r="E52" s="47" t="str">
        <f>C$11</f>
        <v>D1</v>
      </c>
      <c r="F52" s="47" t="str">
        <f>D$12</f>
        <v>E2</v>
      </c>
      <c r="G52" s="41">
        <f t="shared" si="18"/>
        <v>48.698</v>
      </c>
      <c r="H52" s="102">
        <v>48.698</v>
      </c>
      <c r="I52" s="102"/>
      <c r="J52" s="102"/>
      <c r="K52" s="102"/>
      <c r="L52" s="102"/>
      <c r="N52" s="20"/>
      <c r="O52" s="20"/>
      <c r="P52" s="20"/>
      <c r="Q52" s="20"/>
      <c r="R52" s="20"/>
    </row>
    <row r="53" spans="1:19">
      <c r="A53" s="46">
        <v>39</v>
      </c>
      <c r="B53" s="47" t="str">
        <f t="shared" si="12"/>
        <v>A2</v>
      </c>
      <c r="C53" s="47" t="str">
        <f t="shared" si="16"/>
        <v>B2</v>
      </c>
      <c r="D53" s="47" t="str">
        <f t="shared" si="19"/>
        <v>C2</v>
      </c>
      <c r="E53" s="47" t="str">
        <f>D$11</f>
        <v>D2</v>
      </c>
      <c r="F53" s="47" t="str">
        <f>C$12</f>
        <v>E1</v>
      </c>
      <c r="G53" s="41">
        <f t="shared" si="18"/>
        <v>29.385999999999999</v>
      </c>
      <c r="H53" s="102">
        <v>29.385999999999999</v>
      </c>
      <c r="I53" s="102"/>
      <c r="J53" s="102"/>
      <c r="K53" s="102"/>
      <c r="L53" s="102"/>
      <c r="N53" s="20"/>
      <c r="O53" s="20"/>
      <c r="P53" s="20"/>
      <c r="Q53" s="20"/>
      <c r="R53" s="20"/>
    </row>
    <row r="54" spans="1:19">
      <c r="A54" s="46">
        <v>40</v>
      </c>
      <c r="B54" s="47" t="str">
        <f t="shared" si="12"/>
        <v>A2</v>
      </c>
      <c r="C54" s="47" t="str">
        <f t="shared" si="16"/>
        <v>B2</v>
      </c>
      <c r="D54" s="47" t="str">
        <f t="shared" si="19"/>
        <v>C2</v>
      </c>
      <c r="E54" s="47" t="str">
        <f>D$11</f>
        <v>D2</v>
      </c>
      <c r="F54" s="47" t="str">
        <f>D$12</f>
        <v>E2</v>
      </c>
      <c r="G54" s="41">
        <f t="shared" si="18"/>
        <v>49.29</v>
      </c>
      <c r="H54" s="102">
        <v>49.29</v>
      </c>
      <c r="I54" s="102"/>
      <c r="J54" s="102"/>
      <c r="K54" s="102"/>
      <c r="L54" s="102"/>
    </row>
    <row r="55" spans="1:19">
      <c r="A55" s="46">
        <v>41</v>
      </c>
      <c r="B55" s="47" t="str">
        <f t="shared" si="12"/>
        <v>A2</v>
      </c>
      <c r="C55" s="47" t="str">
        <f>E$9</f>
        <v>B3</v>
      </c>
      <c r="D55" s="47" t="str">
        <f>C$10</f>
        <v>C1</v>
      </c>
      <c r="E55" s="47" t="str">
        <f>C$11</f>
        <v>D1</v>
      </c>
      <c r="F55" s="47" t="str">
        <f>C$12</f>
        <v>E1</v>
      </c>
      <c r="G55" s="41">
        <f t="shared" si="18"/>
        <v>27.123999999999999</v>
      </c>
      <c r="H55" s="102">
        <v>27.123999999999999</v>
      </c>
      <c r="I55" s="102"/>
      <c r="J55" s="102"/>
      <c r="K55" s="102"/>
      <c r="L55" s="102"/>
      <c r="N55" s="14"/>
    </row>
    <row r="56" spans="1:19">
      <c r="A56" s="46">
        <v>42</v>
      </c>
      <c r="B56" s="47" t="str">
        <f t="shared" si="12"/>
        <v>A2</v>
      </c>
      <c r="C56" s="47" t="str">
        <f t="shared" ref="C56:C62" si="20">E$9</f>
        <v>B3</v>
      </c>
      <c r="D56" s="47" t="str">
        <f t="shared" ref="D56:D58" si="21">C$10</f>
        <v>C1</v>
      </c>
      <c r="E56" s="47" t="str">
        <f>C$11</f>
        <v>D1</v>
      </c>
      <c r="F56" s="47" t="str">
        <f>D$12</f>
        <v>E2</v>
      </c>
      <c r="G56" s="41">
        <f t="shared" si="18"/>
        <v>45.601999999999997</v>
      </c>
      <c r="H56" s="102">
        <v>45.601999999999997</v>
      </c>
      <c r="I56" s="102"/>
      <c r="J56" s="102"/>
      <c r="K56" s="102"/>
      <c r="L56" s="102"/>
      <c r="N56" s="20"/>
      <c r="O56" s="20"/>
      <c r="P56" s="14" t="str">
        <f>B10</f>
        <v>Fact.C</v>
      </c>
      <c r="Q56" s="14" t="str">
        <f>B10</f>
        <v>Fact.C</v>
      </c>
      <c r="R56" s="20"/>
    </row>
    <row r="57" spans="1:19">
      <c r="A57" s="46">
        <v>43</v>
      </c>
      <c r="B57" s="47" t="str">
        <f t="shared" si="12"/>
        <v>A2</v>
      </c>
      <c r="C57" s="47" t="str">
        <f t="shared" si="20"/>
        <v>B3</v>
      </c>
      <c r="D57" s="47" t="str">
        <f t="shared" si="21"/>
        <v>C1</v>
      </c>
      <c r="E57" s="47" t="str">
        <f>D$11</f>
        <v>D2</v>
      </c>
      <c r="F57" s="47" t="str">
        <f>C$12</f>
        <v>E1</v>
      </c>
      <c r="G57" s="41">
        <f t="shared" si="18"/>
        <v>45.389000000000003</v>
      </c>
      <c r="H57" s="102">
        <v>45.389000000000003</v>
      </c>
      <c r="I57" s="102"/>
      <c r="J57" s="102"/>
      <c r="K57" s="102"/>
      <c r="L57" s="102"/>
      <c r="N57" s="20"/>
      <c r="O57" s="20"/>
      <c r="P57" s="20" t="str">
        <f>C10</f>
        <v>C1</v>
      </c>
      <c r="Q57" s="20" t="str">
        <f>D10</f>
        <v>C2</v>
      </c>
      <c r="R57" s="20"/>
      <c r="S57" s="24" t="s">
        <v>56</v>
      </c>
    </row>
    <row r="58" spans="1:19">
      <c r="A58" s="46">
        <v>44</v>
      </c>
      <c r="B58" s="47" t="str">
        <f t="shared" si="12"/>
        <v>A2</v>
      </c>
      <c r="C58" s="47" t="str">
        <f t="shared" si="20"/>
        <v>B3</v>
      </c>
      <c r="D58" s="47" t="str">
        <f t="shared" si="21"/>
        <v>C1</v>
      </c>
      <c r="E58" s="47" t="str">
        <f>D$11</f>
        <v>D2</v>
      </c>
      <c r="F58" s="47" t="str">
        <f>D$12</f>
        <v>E2</v>
      </c>
      <c r="G58" s="41">
        <f t="shared" si="18"/>
        <v>41.896000000000001</v>
      </c>
      <c r="H58" s="102">
        <v>41.896000000000001</v>
      </c>
      <c r="I58" s="102"/>
      <c r="J58" s="102"/>
      <c r="K58" s="102"/>
      <c r="L58" s="102"/>
      <c r="N58" s="14" t="str">
        <f>C11</f>
        <v>D1</v>
      </c>
      <c r="O58" s="20" t="str">
        <f>B11</f>
        <v>Fact.D</v>
      </c>
      <c r="P58" s="20">
        <f>AVERAGE(vc1d1)</f>
        <v>29.38622222222223</v>
      </c>
      <c r="Q58" s="20">
        <f>AVERAGE(vc2d1)</f>
        <v>38.640999999999991</v>
      </c>
      <c r="R58" s="20"/>
    </row>
    <row r="59" spans="1:19">
      <c r="A59" s="46">
        <v>45</v>
      </c>
      <c r="B59" s="47" t="str">
        <f t="shared" si="12"/>
        <v>A2</v>
      </c>
      <c r="C59" s="47" t="str">
        <f t="shared" si="20"/>
        <v>B3</v>
      </c>
      <c r="D59" s="47" t="str">
        <f>D$10</f>
        <v>C2</v>
      </c>
      <c r="E59" s="47" t="str">
        <f>C$11</f>
        <v>D1</v>
      </c>
      <c r="F59" s="47" t="str">
        <f>C$12</f>
        <v>E1</v>
      </c>
      <c r="G59" s="41">
        <f t="shared" si="18"/>
        <v>45.183</v>
      </c>
      <c r="H59" s="102">
        <v>45.183</v>
      </c>
      <c r="I59" s="102"/>
      <c r="J59" s="102"/>
      <c r="K59" s="102"/>
      <c r="L59" s="102"/>
      <c r="N59" s="14" t="str">
        <f>D11</f>
        <v>D2</v>
      </c>
      <c r="O59" s="20" t="str">
        <f>B11</f>
        <v>Fact.D</v>
      </c>
      <c r="P59" s="20">
        <f>AVERAGE(vc1d2)</f>
        <v>39.495111111111115</v>
      </c>
      <c r="Q59" s="20">
        <f>AVERAGE(vc2d2)</f>
        <v>34.281555555555556</v>
      </c>
      <c r="R59" s="20"/>
    </row>
    <row r="60" spans="1:19">
      <c r="A60" s="46">
        <v>46</v>
      </c>
      <c r="B60" s="47" t="str">
        <f t="shared" si="12"/>
        <v>A2</v>
      </c>
      <c r="C60" s="47" t="str">
        <f t="shared" si="20"/>
        <v>B3</v>
      </c>
      <c r="D60" s="47" t="str">
        <f t="shared" ref="D60:D62" si="22">D$10</f>
        <v>C2</v>
      </c>
      <c r="E60" s="47" t="str">
        <f>C$11</f>
        <v>D1</v>
      </c>
      <c r="F60" s="47" t="str">
        <f>D$12</f>
        <v>E2</v>
      </c>
      <c r="G60" s="41">
        <f t="shared" si="18"/>
        <v>40.658000000000001</v>
      </c>
      <c r="H60" s="102">
        <v>40.658000000000001</v>
      </c>
      <c r="I60" s="102"/>
      <c r="J60" s="102"/>
      <c r="K60" s="102"/>
      <c r="L60" s="102"/>
      <c r="N60" s="20" t="s">
        <v>59</v>
      </c>
      <c r="O60" s="20"/>
      <c r="P60" s="20"/>
      <c r="Q60" s="20"/>
      <c r="R60" s="20"/>
    </row>
    <row r="61" spans="1:19">
      <c r="A61" s="46">
        <v>47</v>
      </c>
      <c r="B61" s="47" t="str">
        <f t="shared" si="12"/>
        <v>A2</v>
      </c>
      <c r="C61" s="47" t="str">
        <f t="shared" si="20"/>
        <v>B3</v>
      </c>
      <c r="D61" s="47" t="str">
        <f t="shared" si="22"/>
        <v>C2</v>
      </c>
      <c r="E61" s="47" t="str">
        <f>D$11</f>
        <v>D2</v>
      </c>
      <c r="F61" s="47" t="str">
        <f>C$12</f>
        <v>E1</v>
      </c>
      <c r="G61" s="41">
        <f t="shared" si="18"/>
        <v>41.963999999999999</v>
      </c>
      <c r="H61" s="102">
        <v>41.963999999999999</v>
      </c>
      <c r="I61" s="102"/>
      <c r="J61" s="102"/>
      <c r="K61" s="102"/>
      <c r="L61" s="102"/>
      <c r="N61" s="14" t="str">
        <f>C12</f>
        <v>E1</v>
      </c>
      <c r="O61" s="20" t="str">
        <f>B12</f>
        <v>Fact.E</v>
      </c>
      <c r="P61" s="20">
        <f>AVERAGE(vc1e1)</f>
        <v>33.888333333333335</v>
      </c>
      <c r="Q61" s="20">
        <f>AVERAGE(vc2e1)</f>
        <v>36.010055555555553</v>
      </c>
      <c r="R61" s="20"/>
    </row>
    <row r="62" spans="1:19">
      <c r="A62" s="46">
        <v>48</v>
      </c>
      <c r="B62" s="47" t="str">
        <f t="shared" si="12"/>
        <v>A2</v>
      </c>
      <c r="C62" s="47" t="str">
        <f t="shared" si="20"/>
        <v>B3</v>
      </c>
      <c r="D62" s="47" t="str">
        <f t="shared" si="22"/>
        <v>C2</v>
      </c>
      <c r="E62" s="47" t="str">
        <f>D$11</f>
        <v>D2</v>
      </c>
      <c r="F62" s="47" t="str">
        <f>D$12</f>
        <v>E2</v>
      </c>
      <c r="G62" s="41">
        <f t="shared" si="18"/>
        <v>48.649000000000001</v>
      </c>
      <c r="H62" s="102">
        <v>48.649000000000001</v>
      </c>
      <c r="I62" s="102"/>
      <c r="J62" s="102"/>
      <c r="K62" s="102"/>
      <c r="L62" s="102"/>
      <c r="N62" s="14" t="str">
        <f>D12</f>
        <v>E2</v>
      </c>
      <c r="O62" s="14" t="str">
        <f>B12</f>
        <v>Fact.E</v>
      </c>
      <c r="P62" s="20">
        <f>AVERAGE(vc1e2)</f>
        <v>34.992999999999995</v>
      </c>
      <c r="Q62" s="20">
        <f>AVERAGE(vc2e2)</f>
        <v>36.912499999999994</v>
      </c>
      <c r="R62" s="20"/>
    </row>
    <row r="63" spans="1:19">
      <c r="A63" s="46">
        <v>49</v>
      </c>
      <c r="B63" s="47" t="str">
        <f>E$8</f>
        <v>A3</v>
      </c>
      <c r="C63" s="47" t="str">
        <f>C$9</f>
        <v>B1</v>
      </c>
      <c r="D63" s="47" t="str">
        <f>C$10</f>
        <v>C1</v>
      </c>
      <c r="E63" s="47" t="str">
        <f>C$11</f>
        <v>D1</v>
      </c>
      <c r="F63" s="47" t="str">
        <f>C$12</f>
        <v>E1</v>
      </c>
      <c r="G63" s="41">
        <f t="shared" si="18"/>
        <v>30.404</v>
      </c>
      <c r="H63" s="102">
        <v>30.404</v>
      </c>
      <c r="I63" s="102"/>
      <c r="J63" s="102"/>
      <c r="K63" s="102"/>
      <c r="L63" s="102"/>
      <c r="N63" s="20"/>
      <c r="O63" s="20"/>
      <c r="P63" s="20"/>
      <c r="Q63" s="20"/>
      <c r="R63" s="20"/>
    </row>
    <row r="64" spans="1:19">
      <c r="A64" s="46">
        <v>50</v>
      </c>
      <c r="B64" s="47" t="str">
        <f t="shared" ref="B64:B86" si="23">E$8</f>
        <v>A3</v>
      </c>
      <c r="C64" s="47" t="str">
        <f t="shared" ref="C64:C70" si="24">C$9</f>
        <v>B1</v>
      </c>
      <c r="D64" s="47" t="str">
        <f t="shared" ref="D64:D66" si="25">C$10</f>
        <v>C1</v>
      </c>
      <c r="E64" s="47" t="str">
        <f>C$11</f>
        <v>D1</v>
      </c>
      <c r="F64" s="47" t="str">
        <f>D$12</f>
        <v>E2</v>
      </c>
      <c r="G64" s="41">
        <f t="shared" si="18"/>
        <v>23.853000000000002</v>
      </c>
      <c r="H64" s="102">
        <v>23.853000000000002</v>
      </c>
      <c r="I64" s="102"/>
      <c r="J64" s="102"/>
      <c r="K64" s="102"/>
      <c r="L64" s="102"/>
      <c r="N64" s="14"/>
      <c r="O64" s="20"/>
      <c r="P64" s="20"/>
      <c r="Q64" s="20"/>
      <c r="R64" s="20"/>
    </row>
    <row r="65" spans="1:19">
      <c r="A65" s="46">
        <v>51</v>
      </c>
      <c r="B65" s="47" t="str">
        <f t="shared" si="23"/>
        <v>A3</v>
      </c>
      <c r="C65" s="47" t="str">
        <f t="shared" si="24"/>
        <v>B1</v>
      </c>
      <c r="D65" s="47" t="str">
        <f t="shared" si="25"/>
        <v>C1</v>
      </c>
      <c r="E65" s="47" t="str">
        <f>D$11</f>
        <v>D2</v>
      </c>
      <c r="F65" s="47" t="str">
        <f>C$12</f>
        <v>E1</v>
      </c>
      <c r="G65" s="41">
        <f t="shared" si="18"/>
        <v>49.920999999999999</v>
      </c>
      <c r="H65" s="102">
        <v>49.920999999999999</v>
      </c>
      <c r="I65" s="102"/>
      <c r="J65" s="102"/>
      <c r="K65" s="102"/>
      <c r="L65" s="102"/>
      <c r="N65" s="14"/>
      <c r="O65" s="14"/>
    </row>
    <row r="66" spans="1:19">
      <c r="A66" s="46">
        <v>52</v>
      </c>
      <c r="B66" s="47" t="str">
        <f t="shared" si="23"/>
        <v>A3</v>
      </c>
      <c r="C66" s="47" t="str">
        <f t="shared" si="24"/>
        <v>B1</v>
      </c>
      <c r="D66" s="47" t="str">
        <f t="shared" si="25"/>
        <v>C1</v>
      </c>
      <c r="E66" s="47" t="str">
        <f>D$11</f>
        <v>D2</v>
      </c>
      <c r="F66" s="47" t="str">
        <f>D$12</f>
        <v>E2</v>
      </c>
      <c r="G66" s="41">
        <f t="shared" ref="G66:G81" si="26">MEDIAN(H66:L66)</f>
        <v>49.783999999999999</v>
      </c>
      <c r="H66" s="102">
        <v>49.783999999999999</v>
      </c>
      <c r="I66" s="102"/>
      <c r="J66" s="102"/>
      <c r="K66" s="102"/>
      <c r="L66" s="102"/>
      <c r="N66" s="14"/>
      <c r="O66" s="14"/>
    </row>
    <row r="67" spans="1:19">
      <c r="A67" s="46">
        <v>53</v>
      </c>
      <c r="B67" s="47" t="str">
        <f t="shared" si="23"/>
        <v>A3</v>
      </c>
      <c r="C67" s="47" t="str">
        <f t="shared" si="24"/>
        <v>B1</v>
      </c>
      <c r="D67" s="47" t="str">
        <f>D$10</f>
        <v>C2</v>
      </c>
      <c r="E67" s="47" t="str">
        <f>C$11</f>
        <v>D1</v>
      </c>
      <c r="F67" s="47" t="str">
        <f>C$12</f>
        <v>E1</v>
      </c>
      <c r="G67" s="41">
        <f t="shared" si="26"/>
        <v>49.066000000000003</v>
      </c>
      <c r="H67" s="102">
        <v>49.066000000000003</v>
      </c>
      <c r="I67" s="102"/>
      <c r="J67" s="102"/>
      <c r="K67" s="102"/>
      <c r="L67" s="102"/>
      <c r="N67" s="14"/>
      <c r="O67" s="14"/>
    </row>
    <row r="68" spans="1:19">
      <c r="A68" s="46">
        <v>54</v>
      </c>
      <c r="B68" s="47" t="str">
        <f t="shared" si="23"/>
        <v>A3</v>
      </c>
      <c r="C68" s="47" t="str">
        <f t="shared" si="24"/>
        <v>B1</v>
      </c>
      <c r="D68" s="47" t="str">
        <f t="shared" ref="D68:D70" si="27">D$10</f>
        <v>C2</v>
      </c>
      <c r="E68" s="47" t="str">
        <f>C$11</f>
        <v>D1</v>
      </c>
      <c r="F68" s="47" t="str">
        <f>D$12</f>
        <v>E2</v>
      </c>
      <c r="G68" s="41">
        <f t="shared" si="26"/>
        <v>30.393999999999998</v>
      </c>
      <c r="H68" s="102">
        <v>30.393999999999998</v>
      </c>
      <c r="I68" s="102"/>
      <c r="J68" s="102"/>
      <c r="K68" s="102"/>
      <c r="L68" s="102"/>
      <c r="N68" s="14"/>
      <c r="O68" s="14"/>
    </row>
    <row r="69" spans="1:19">
      <c r="A69" s="46">
        <v>55</v>
      </c>
      <c r="B69" s="47" t="str">
        <f t="shared" si="23"/>
        <v>A3</v>
      </c>
      <c r="C69" s="47" t="str">
        <f t="shared" si="24"/>
        <v>B1</v>
      </c>
      <c r="D69" s="47" t="str">
        <f t="shared" si="27"/>
        <v>C2</v>
      </c>
      <c r="E69" s="47" t="str">
        <f>D$11</f>
        <v>D2</v>
      </c>
      <c r="F69" s="47" t="str">
        <f>C$12</f>
        <v>E1</v>
      </c>
      <c r="G69" s="41">
        <f t="shared" si="26"/>
        <v>26.527000000000001</v>
      </c>
      <c r="H69" s="102">
        <v>26.527000000000001</v>
      </c>
      <c r="I69" s="102"/>
      <c r="J69" s="102"/>
      <c r="K69" s="102"/>
      <c r="L69" s="102"/>
      <c r="N69" s="14"/>
      <c r="O69" s="14"/>
    </row>
    <row r="70" spans="1:19">
      <c r="A70" s="46">
        <v>56</v>
      </c>
      <c r="B70" s="47" t="str">
        <f t="shared" si="23"/>
        <v>A3</v>
      </c>
      <c r="C70" s="47" t="str">
        <f t="shared" si="24"/>
        <v>B1</v>
      </c>
      <c r="D70" s="47" t="str">
        <f t="shared" si="27"/>
        <v>C2</v>
      </c>
      <c r="E70" s="47" t="str">
        <f>D$11</f>
        <v>D2</v>
      </c>
      <c r="F70" s="47" t="str">
        <f>D$12</f>
        <v>E2</v>
      </c>
      <c r="G70" s="41">
        <f t="shared" si="26"/>
        <v>29.846</v>
      </c>
      <c r="H70" s="102">
        <v>29.846</v>
      </c>
      <c r="I70" s="102"/>
      <c r="J70" s="102"/>
      <c r="K70" s="102"/>
      <c r="L70" s="102"/>
      <c r="N70" s="14"/>
      <c r="O70" s="14"/>
    </row>
    <row r="71" spans="1:19">
      <c r="A71" s="46">
        <v>57</v>
      </c>
      <c r="B71" s="47" t="str">
        <f t="shared" si="23"/>
        <v>A3</v>
      </c>
      <c r="C71" s="47" t="str">
        <f>D$9</f>
        <v>B2</v>
      </c>
      <c r="D71" s="47" t="str">
        <f>C$10</f>
        <v>C1</v>
      </c>
      <c r="E71" s="47" t="str">
        <f>C$11</f>
        <v>D1</v>
      </c>
      <c r="F71" s="47" t="str">
        <f>C$12</f>
        <v>E1</v>
      </c>
      <c r="G71" s="41">
        <f t="shared" si="26"/>
        <v>23.507999999999999</v>
      </c>
      <c r="H71" s="102">
        <v>23.507999999999999</v>
      </c>
      <c r="I71" s="102"/>
      <c r="J71" s="102"/>
      <c r="K71" s="102"/>
      <c r="L71" s="102"/>
      <c r="N71" s="14"/>
      <c r="O71" s="14"/>
    </row>
    <row r="72" spans="1:19">
      <c r="A72" s="46">
        <v>58</v>
      </c>
      <c r="B72" s="47" t="str">
        <f t="shared" si="23"/>
        <v>A3</v>
      </c>
      <c r="C72" s="47" t="str">
        <f t="shared" ref="C72:C78" si="28">D$9</f>
        <v>B2</v>
      </c>
      <c r="D72" s="47" t="str">
        <f t="shared" ref="D72:D74" si="29">C$10</f>
        <v>C1</v>
      </c>
      <c r="E72" s="47" t="str">
        <f>C$11</f>
        <v>D1</v>
      </c>
      <c r="F72" s="47" t="str">
        <f>D$12</f>
        <v>E2</v>
      </c>
      <c r="G72" s="41">
        <f t="shared" si="26"/>
        <v>20.343</v>
      </c>
      <c r="H72" s="102">
        <v>20.343</v>
      </c>
      <c r="I72" s="102"/>
      <c r="J72" s="102"/>
      <c r="K72" s="102"/>
      <c r="L72" s="102"/>
      <c r="N72" s="14"/>
      <c r="O72" s="14"/>
    </row>
    <row r="73" spans="1:19">
      <c r="A73" s="46">
        <v>59</v>
      </c>
      <c r="B73" s="47" t="str">
        <f t="shared" si="23"/>
        <v>A3</v>
      </c>
      <c r="C73" s="47" t="str">
        <f t="shared" si="28"/>
        <v>B2</v>
      </c>
      <c r="D73" s="47" t="str">
        <f t="shared" si="29"/>
        <v>C1</v>
      </c>
      <c r="E73" s="47" t="str">
        <f>D$11</f>
        <v>D2</v>
      </c>
      <c r="F73" s="47" t="str">
        <f>C$12</f>
        <v>E1</v>
      </c>
      <c r="G73" s="41">
        <f t="shared" si="26"/>
        <v>25.341999999999999</v>
      </c>
      <c r="H73" s="102">
        <v>25.341999999999999</v>
      </c>
      <c r="I73" s="102"/>
      <c r="J73" s="102"/>
      <c r="K73" s="102"/>
      <c r="L73" s="102"/>
      <c r="N73" s="14"/>
      <c r="O73" s="14"/>
    </row>
    <row r="74" spans="1:19">
      <c r="A74" s="46">
        <v>60</v>
      </c>
      <c r="B74" s="47" t="str">
        <f t="shared" si="23"/>
        <v>A3</v>
      </c>
      <c r="C74" s="47" t="str">
        <f t="shared" si="28"/>
        <v>B2</v>
      </c>
      <c r="D74" s="47" t="str">
        <f t="shared" si="29"/>
        <v>C1</v>
      </c>
      <c r="E74" s="47" t="str">
        <f>D$11</f>
        <v>D2</v>
      </c>
      <c r="F74" s="47" t="str">
        <f>D$12</f>
        <v>E2</v>
      </c>
      <c r="G74" s="41">
        <f t="shared" si="26"/>
        <v>41.923000000000002</v>
      </c>
      <c r="H74" s="102">
        <v>41.923000000000002</v>
      </c>
      <c r="I74" s="102"/>
      <c r="J74" s="102"/>
      <c r="K74" s="102"/>
      <c r="L74" s="102"/>
      <c r="N74" s="14"/>
      <c r="O74" s="14"/>
    </row>
    <row r="75" spans="1:19">
      <c r="A75" s="46">
        <v>61</v>
      </c>
      <c r="B75" s="47" t="str">
        <f t="shared" si="23"/>
        <v>A3</v>
      </c>
      <c r="C75" s="47" t="str">
        <f t="shared" si="28"/>
        <v>B2</v>
      </c>
      <c r="D75" s="47" t="str">
        <f>D$10</f>
        <v>C2</v>
      </c>
      <c r="E75" s="47" t="str">
        <f>C$11</f>
        <v>D1</v>
      </c>
      <c r="F75" s="47" t="str">
        <f>C$12</f>
        <v>E1</v>
      </c>
      <c r="G75" s="41">
        <f t="shared" si="26"/>
        <v>38.176000000000002</v>
      </c>
      <c r="H75" s="102">
        <v>38.176000000000002</v>
      </c>
      <c r="I75" s="102"/>
      <c r="J75" s="102"/>
      <c r="K75" s="102"/>
      <c r="L75" s="102"/>
      <c r="N75" s="14"/>
      <c r="O75" s="14"/>
    </row>
    <row r="76" spans="1:19">
      <c r="A76" s="46">
        <v>62</v>
      </c>
      <c r="B76" s="47" t="str">
        <f t="shared" si="23"/>
        <v>A3</v>
      </c>
      <c r="C76" s="47" t="str">
        <f t="shared" si="28"/>
        <v>B2</v>
      </c>
      <c r="D76" s="47" t="str">
        <f t="shared" ref="D76:D78" si="30">D$10</f>
        <v>C2</v>
      </c>
      <c r="E76" s="47" t="str">
        <f>C$11</f>
        <v>D1</v>
      </c>
      <c r="F76" s="47" t="str">
        <f>D$12</f>
        <v>E2</v>
      </c>
      <c r="G76" s="41">
        <f t="shared" si="26"/>
        <v>44.252000000000002</v>
      </c>
      <c r="H76" s="102">
        <v>44.252000000000002</v>
      </c>
      <c r="I76" s="102"/>
      <c r="J76" s="102"/>
      <c r="K76" s="102"/>
      <c r="L76" s="102"/>
      <c r="N76" s="14"/>
      <c r="O76" s="14"/>
    </row>
    <row r="77" spans="1:19">
      <c r="A77" s="46">
        <v>63</v>
      </c>
      <c r="B77" s="47" t="str">
        <f t="shared" si="23"/>
        <v>A3</v>
      </c>
      <c r="C77" s="47" t="str">
        <f t="shared" si="28"/>
        <v>B2</v>
      </c>
      <c r="D77" s="47" t="str">
        <f t="shared" si="30"/>
        <v>C2</v>
      </c>
      <c r="E77" s="47" t="str">
        <f>D$11</f>
        <v>D2</v>
      </c>
      <c r="F77" s="47" t="str">
        <f>C$12</f>
        <v>E1</v>
      </c>
      <c r="G77" s="41">
        <f t="shared" si="26"/>
        <v>48.067</v>
      </c>
      <c r="H77" s="102">
        <v>48.067</v>
      </c>
      <c r="I77" s="102"/>
      <c r="J77" s="102"/>
      <c r="K77" s="102"/>
      <c r="L77" s="102"/>
      <c r="N77" s="14"/>
      <c r="O77" s="14"/>
    </row>
    <row r="78" spans="1:19">
      <c r="A78" s="46">
        <v>64</v>
      </c>
      <c r="B78" s="47" t="str">
        <f t="shared" si="23"/>
        <v>A3</v>
      </c>
      <c r="C78" s="47" t="str">
        <f t="shared" si="28"/>
        <v>B2</v>
      </c>
      <c r="D78" s="47" t="str">
        <f t="shared" si="30"/>
        <v>C2</v>
      </c>
      <c r="E78" s="47" t="str">
        <f>D$11</f>
        <v>D2</v>
      </c>
      <c r="F78" s="47" t="str">
        <f>D$12</f>
        <v>E2</v>
      </c>
      <c r="G78" s="41">
        <f t="shared" si="26"/>
        <v>25.847999999999999</v>
      </c>
      <c r="H78" s="102">
        <v>25.847999999999999</v>
      </c>
      <c r="I78" s="102"/>
      <c r="J78" s="102"/>
      <c r="K78" s="102"/>
      <c r="L78" s="102"/>
      <c r="N78" s="14"/>
      <c r="O78" s="14"/>
    </row>
    <row r="79" spans="1:19">
      <c r="A79" s="46">
        <v>65</v>
      </c>
      <c r="B79" s="47" t="str">
        <f t="shared" si="23"/>
        <v>A3</v>
      </c>
      <c r="C79" s="47" t="str">
        <f>E$9</f>
        <v>B3</v>
      </c>
      <c r="D79" s="47" t="str">
        <f>C$10</f>
        <v>C1</v>
      </c>
      <c r="E79" s="47" t="str">
        <f>C$11</f>
        <v>D1</v>
      </c>
      <c r="F79" s="47" t="str">
        <f>C$12</f>
        <v>E1</v>
      </c>
      <c r="G79" s="41">
        <f t="shared" si="26"/>
        <v>33.759</v>
      </c>
      <c r="H79" s="102">
        <v>33.759</v>
      </c>
      <c r="I79" s="102"/>
      <c r="J79" s="102"/>
      <c r="K79" s="102"/>
      <c r="L79" s="102"/>
      <c r="N79" s="14"/>
      <c r="O79" s="14"/>
    </row>
    <row r="80" spans="1:19">
      <c r="A80" s="46">
        <v>66</v>
      </c>
      <c r="B80" s="47" t="str">
        <f t="shared" si="23"/>
        <v>A3</v>
      </c>
      <c r="C80" s="47" t="str">
        <f t="shared" ref="C80:C86" si="31">E$9</f>
        <v>B3</v>
      </c>
      <c r="D80" s="47" t="str">
        <f t="shared" ref="D80:D82" si="32">C$10</f>
        <v>C1</v>
      </c>
      <c r="E80" s="47" t="str">
        <f>C$11</f>
        <v>D1</v>
      </c>
      <c r="F80" s="47" t="str">
        <f>D$12</f>
        <v>E2</v>
      </c>
      <c r="G80" s="41">
        <f t="shared" si="26"/>
        <v>24.477</v>
      </c>
      <c r="H80" s="102">
        <v>24.477</v>
      </c>
      <c r="I80" s="102"/>
      <c r="J80" s="102"/>
      <c r="K80" s="102"/>
      <c r="L80" s="102"/>
      <c r="N80" s="20"/>
      <c r="O80" s="20"/>
      <c r="P80" s="20" t="str">
        <f>B11</f>
        <v>Fact.D</v>
      </c>
      <c r="Q80" s="20" t="str">
        <f>B11</f>
        <v>Fact.D</v>
      </c>
      <c r="R80" s="20"/>
      <c r="S80" s="20"/>
    </row>
    <row r="81" spans="1:19">
      <c r="A81" s="46">
        <v>67</v>
      </c>
      <c r="B81" s="47" t="str">
        <f t="shared" si="23"/>
        <v>A3</v>
      </c>
      <c r="C81" s="47" t="str">
        <f t="shared" si="31"/>
        <v>B3</v>
      </c>
      <c r="D81" s="47" t="str">
        <f t="shared" si="32"/>
        <v>C1</v>
      </c>
      <c r="E81" s="47" t="str">
        <f>D$11</f>
        <v>D2</v>
      </c>
      <c r="F81" s="47" t="str">
        <f>C$12</f>
        <v>E1</v>
      </c>
      <c r="G81" s="41">
        <f t="shared" si="26"/>
        <v>29.343</v>
      </c>
      <c r="H81" s="102">
        <v>29.343</v>
      </c>
      <c r="I81" s="102"/>
      <c r="J81" s="102"/>
      <c r="K81" s="102"/>
      <c r="L81" s="102"/>
      <c r="N81" s="20"/>
      <c r="O81" s="20"/>
      <c r="P81" s="20" t="str">
        <f>C11</f>
        <v>D1</v>
      </c>
      <c r="Q81" s="20" t="str">
        <f>D11</f>
        <v>D2</v>
      </c>
      <c r="R81" s="20"/>
      <c r="S81" s="21" t="s">
        <v>57</v>
      </c>
    </row>
    <row r="82" spans="1:19">
      <c r="A82" s="46">
        <v>68</v>
      </c>
      <c r="B82" s="47" t="str">
        <f t="shared" si="23"/>
        <v>A3</v>
      </c>
      <c r="C82" s="47" t="str">
        <f t="shared" si="31"/>
        <v>B3</v>
      </c>
      <c r="D82" s="47" t="str">
        <f t="shared" si="32"/>
        <v>C1</v>
      </c>
      <c r="E82" s="47" t="str">
        <f>D$11</f>
        <v>D2</v>
      </c>
      <c r="F82" s="47" t="str">
        <f>D$12</f>
        <v>E2</v>
      </c>
      <c r="G82" s="41">
        <f>MEDIAN(H82:L82)</f>
        <v>37.552999999999997</v>
      </c>
      <c r="H82" s="102">
        <v>37.552999999999997</v>
      </c>
      <c r="I82" s="102"/>
      <c r="J82" s="102"/>
      <c r="K82" s="102"/>
      <c r="L82" s="102"/>
      <c r="N82" s="20" t="str">
        <f>C12</f>
        <v>E1</v>
      </c>
      <c r="O82" s="20" t="str">
        <f>B12</f>
        <v>Fact.E</v>
      </c>
      <c r="P82" s="22">
        <f>AVERAGE(vd1e1)</f>
        <v>34.990944444444452</v>
      </c>
      <c r="Q82" s="22">
        <f>AVERAGE(vd2e1)</f>
        <v>34.907444444444451</v>
      </c>
      <c r="R82" s="20"/>
      <c r="S82" s="20"/>
    </row>
    <row r="83" spans="1:19">
      <c r="A83" s="46">
        <v>69</v>
      </c>
      <c r="B83" s="47" t="str">
        <f t="shared" si="23"/>
        <v>A3</v>
      </c>
      <c r="C83" s="47" t="str">
        <f t="shared" si="31"/>
        <v>B3</v>
      </c>
      <c r="D83" s="47" t="str">
        <f>D$10</f>
        <v>C2</v>
      </c>
      <c r="E83" s="47" t="str">
        <f>C$11</f>
        <v>D1</v>
      </c>
      <c r="F83" s="47" t="str">
        <f>C$12</f>
        <v>E1</v>
      </c>
      <c r="G83" s="41">
        <f>MEDIAN(H83:L83)</f>
        <v>37.881999999999998</v>
      </c>
      <c r="H83" s="102">
        <v>37.881999999999998</v>
      </c>
      <c r="I83" s="102"/>
      <c r="J83" s="102"/>
      <c r="K83" s="102"/>
      <c r="L83" s="102"/>
      <c r="N83" s="20" t="str">
        <f>D12</f>
        <v>E2</v>
      </c>
      <c r="O83" s="20" t="str">
        <f>B12</f>
        <v>Fact.E</v>
      </c>
      <c r="P83" s="22">
        <f>AVERAGE(vd1e2)</f>
        <v>33.036277777777769</v>
      </c>
      <c r="Q83" s="22">
        <f>AVERAGE(vd2e2)</f>
        <v>38.869222222222227</v>
      </c>
      <c r="R83" s="20"/>
      <c r="S83" s="20"/>
    </row>
    <row r="84" spans="1:19">
      <c r="A84" s="46">
        <v>70</v>
      </c>
      <c r="B84" s="47" t="str">
        <f t="shared" si="23"/>
        <v>A3</v>
      </c>
      <c r="C84" s="47" t="str">
        <f t="shared" si="31"/>
        <v>B3</v>
      </c>
      <c r="D84" s="47" t="str">
        <f t="shared" ref="D84:D86" si="33">D$10</f>
        <v>C2</v>
      </c>
      <c r="E84" s="47" t="str">
        <f>C$11</f>
        <v>D1</v>
      </c>
      <c r="F84" s="47" t="str">
        <f>D$12</f>
        <v>E2</v>
      </c>
      <c r="G84" s="41">
        <f>MEDIAN(H84:L84)</f>
        <v>26.87</v>
      </c>
      <c r="H84" s="102">
        <v>26.87</v>
      </c>
      <c r="I84" s="102"/>
      <c r="J84" s="102"/>
      <c r="K84" s="102"/>
      <c r="L84" s="102"/>
      <c r="N84" s="20"/>
      <c r="O84" s="20"/>
      <c r="P84" s="20"/>
      <c r="Q84" s="20"/>
      <c r="R84" s="20"/>
      <c r="S84" s="20"/>
    </row>
    <row r="85" spans="1:19">
      <c r="A85" s="46">
        <v>71</v>
      </c>
      <c r="B85" s="47" t="str">
        <f t="shared" si="23"/>
        <v>A3</v>
      </c>
      <c r="C85" s="47" t="str">
        <f t="shared" si="31"/>
        <v>B3</v>
      </c>
      <c r="D85" s="47" t="str">
        <f t="shared" si="33"/>
        <v>C2</v>
      </c>
      <c r="E85" s="47" t="str">
        <f>D$11</f>
        <v>D2</v>
      </c>
      <c r="F85" s="47" t="str">
        <f>C$12</f>
        <v>E1</v>
      </c>
      <c r="G85" s="41">
        <f>MEDIAN(H85:L85)</f>
        <v>30.437000000000001</v>
      </c>
      <c r="H85" s="102">
        <v>30.437000000000001</v>
      </c>
      <c r="I85" s="102"/>
      <c r="J85" s="102"/>
      <c r="K85" s="102"/>
      <c r="L85" s="102"/>
      <c r="N85" s="14"/>
      <c r="O85" s="14"/>
    </row>
    <row r="86" spans="1:19">
      <c r="A86" s="46">
        <v>72</v>
      </c>
      <c r="B86" s="47" t="str">
        <f t="shared" si="23"/>
        <v>A3</v>
      </c>
      <c r="C86" s="47" t="str">
        <f t="shared" si="31"/>
        <v>B3</v>
      </c>
      <c r="D86" s="47" t="str">
        <f t="shared" si="33"/>
        <v>C2</v>
      </c>
      <c r="E86" s="47" t="str">
        <f>D$11</f>
        <v>D2</v>
      </c>
      <c r="F86" s="47" t="str">
        <f>D$12</f>
        <v>E2</v>
      </c>
      <c r="G86" s="41">
        <f>MEDIAN(H86:L86)</f>
        <v>31.768000000000001</v>
      </c>
      <c r="H86" s="102">
        <v>31.768000000000001</v>
      </c>
      <c r="I86" s="102"/>
      <c r="J86" s="102"/>
      <c r="K86" s="102"/>
      <c r="L86" s="102"/>
      <c r="N86" s="14"/>
      <c r="O86" s="14"/>
    </row>
    <row r="87" spans="1:19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N87" s="14"/>
      <c r="O87" s="14"/>
    </row>
    <row r="88" spans="1:19"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N88" s="14"/>
      <c r="O88" s="14"/>
    </row>
    <row r="89" spans="1:19" ht="13.8">
      <c r="A89" s="62" t="s">
        <v>27</v>
      </c>
      <c r="B89" s="63" t="s">
        <v>28</v>
      </c>
      <c r="C89" s="63" t="s">
        <v>29</v>
      </c>
      <c r="D89" s="63" t="s">
        <v>30</v>
      </c>
      <c r="E89" s="63" t="s">
        <v>47</v>
      </c>
      <c r="F89" s="63" t="s">
        <v>53</v>
      </c>
      <c r="G89" s="63" t="s">
        <v>58</v>
      </c>
      <c r="H89" s="26"/>
      <c r="I89" s="242" t="s">
        <v>205</v>
      </c>
      <c r="J89" s="243"/>
      <c r="K89" s="244"/>
      <c r="L89" s="26"/>
      <c r="N89" s="14"/>
      <c r="O89" s="14"/>
    </row>
    <row r="90" spans="1:19" ht="13.8">
      <c r="A90" s="62" t="s">
        <v>31</v>
      </c>
      <c r="B90" s="64">
        <f>AVERAGE($G$15:$G$86)</f>
        <v>35.450972222222219</v>
      </c>
      <c r="C90" s="64">
        <f>AVERAGE(_va1)-B90</f>
        <v>-1.8365138888888808</v>
      </c>
      <c r="D90" s="64">
        <f>AVERAGE(_vb1)-B90</f>
        <v>0.63640277777778209</v>
      </c>
      <c r="E90" s="64">
        <f>AVERAGE(_vc1)-B90</f>
        <v>-1.01030555555554</v>
      </c>
      <c r="F90" s="64">
        <f>AVERAGE(_vd1)-B90</f>
        <v>-1.4373611111111089</v>
      </c>
      <c r="G90" s="64">
        <f>AVERAGE(_ve1)-B90</f>
        <v>-0.50177777777776811</v>
      </c>
      <c r="H90" s="27"/>
      <c r="I90" s="245" t="s">
        <v>206</v>
      </c>
      <c r="J90" s="246"/>
      <c r="K90" s="247"/>
      <c r="L90" s="27"/>
    </row>
    <row r="91" spans="1:19" ht="13.8">
      <c r="A91" s="62" t="s">
        <v>32</v>
      </c>
      <c r="B91" s="64">
        <f>AVERAGE($G$15:$G$86)</f>
        <v>35.450972222222219</v>
      </c>
      <c r="C91" s="64">
        <f>AVERAGE(_va2)-B91</f>
        <v>3.5648611111111066</v>
      </c>
      <c r="D91" s="64">
        <f>AVERAGE(_vb2)-B91</f>
        <v>-1.5653888888888829</v>
      </c>
      <c r="E91" s="64">
        <f>AVERAGE(_vc2)-B91</f>
        <v>1.0103055555555471</v>
      </c>
      <c r="F91" s="64">
        <f>AVERAGE(_vd2)-B90</f>
        <v>1.437361111111116</v>
      </c>
      <c r="G91" s="64">
        <f>AVERAGE(_ve2)-B90</f>
        <v>0.50177777777778232</v>
      </c>
      <c r="H91" s="27"/>
      <c r="I91" s="27"/>
      <c r="J91" s="27"/>
      <c r="K91" s="27"/>
      <c r="L91" s="27"/>
    </row>
    <row r="92" spans="1:19" ht="13.8">
      <c r="A92" s="62" t="s">
        <v>33</v>
      </c>
      <c r="B92" s="64">
        <f>AVERAGE($G$15:$G$86)</f>
        <v>35.450972222222219</v>
      </c>
      <c r="C92" s="64">
        <f>AVERAGE(_va3)-B92</f>
        <v>-1.7283472222222258</v>
      </c>
      <c r="D92" s="64">
        <f>AVERAGE(_vb3)-B92</f>
        <v>0.92898611111111506</v>
      </c>
      <c r="E92" s="25"/>
      <c r="F92" s="25"/>
      <c r="G92" s="25"/>
      <c r="H92" s="25"/>
      <c r="I92" s="25"/>
      <c r="J92" s="25"/>
      <c r="K92" s="25"/>
      <c r="L92" s="25"/>
    </row>
    <row r="93" spans="1:19">
      <c r="A93" s="25"/>
      <c r="B93" s="25"/>
      <c r="C93" s="28"/>
      <c r="D93" s="28"/>
      <c r="E93" s="28"/>
      <c r="F93" s="28"/>
      <c r="G93" s="28"/>
      <c r="H93" s="25"/>
      <c r="I93" s="25"/>
      <c r="J93" s="25"/>
      <c r="K93" s="25"/>
      <c r="L93" s="25"/>
    </row>
    <row r="94" spans="1:19" ht="13.8">
      <c r="A94" s="29" t="s">
        <v>172</v>
      </c>
      <c r="B94" s="26"/>
      <c r="C94" s="30"/>
      <c r="D94" s="25"/>
      <c r="E94" s="26"/>
      <c r="F94" s="30"/>
      <c r="G94" s="25"/>
      <c r="H94" s="26"/>
      <c r="I94" s="30"/>
      <c r="J94" s="25"/>
      <c r="K94" s="25"/>
      <c r="L94" s="25"/>
      <c r="M94" s="25"/>
    </row>
    <row r="95" spans="1:19" ht="13.8">
      <c r="A95" s="31"/>
      <c r="B95" s="119" t="s">
        <v>250</v>
      </c>
      <c r="C95" s="119" t="s">
        <v>187</v>
      </c>
      <c r="D95" s="119" t="s">
        <v>188</v>
      </c>
      <c r="E95" s="119" t="s">
        <v>211</v>
      </c>
      <c r="F95" s="119" t="s">
        <v>226</v>
      </c>
      <c r="G95" s="119" t="s">
        <v>231</v>
      </c>
      <c r="H95" s="119" t="s">
        <v>189</v>
      </c>
      <c r="I95" s="119" t="s">
        <v>190</v>
      </c>
      <c r="J95" s="25"/>
      <c r="K95" s="25"/>
      <c r="L95" s="25"/>
      <c r="M95" s="25"/>
    </row>
    <row r="96" spans="1:19" ht="13.8">
      <c r="A96" s="31"/>
      <c r="B96" s="75" t="s">
        <v>21</v>
      </c>
      <c r="C96" s="75" t="s">
        <v>160</v>
      </c>
      <c r="D96" s="75" t="s">
        <v>163</v>
      </c>
      <c r="E96" s="65" t="s">
        <v>166</v>
      </c>
      <c r="F96" s="75" t="s">
        <v>168</v>
      </c>
      <c r="G96" s="66" t="s">
        <v>170</v>
      </c>
      <c r="H96" s="75">
        <f t="shared" ref="H96:H127" si="34">IF(H15="","",H15)</f>
        <v>31</v>
      </c>
      <c r="I96" s="261" t="str">
        <f t="shared" ref="I96:I159" si="35">IF(H96="","",CONCATENATE(C96,"_",D96,"_",E96,"_",F96,"_",G96))</f>
        <v>A1_B1_C1_D1_E1</v>
      </c>
      <c r="J96" s="25"/>
      <c r="K96" s="25"/>
      <c r="L96" s="25"/>
      <c r="M96" s="25"/>
    </row>
    <row r="97" spans="1:13" ht="13.8">
      <c r="A97" s="31"/>
      <c r="B97" s="76" t="s">
        <v>21</v>
      </c>
      <c r="C97" s="76" t="s">
        <v>160</v>
      </c>
      <c r="D97" s="76" t="s">
        <v>163</v>
      </c>
      <c r="E97" s="65" t="s">
        <v>166</v>
      </c>
      <c r="F97" s="76" t="s">
        <v>168</v>
      </c>
      <c r="G97" s="66" t="s">
        <v>171</v>
      </c>
      <c r="H97" s="76">
        <f t="shared" si="34"/>
        <v>22.067</v>
      </c>
      <c r="I97" s="260" t="str">
        <f t="shared" si="35"/>
        <v>A1_B1_C1_D1_E2</v>
      </c>
      <c r="J97" s="25"/>
      <c r="K97" s="25"/>
      <c r="L97" s="25"/>
      <c r="M97" s="25"/>
    </row>
    <row r="98" spans="1:13" ht="13.8">
      <c r="A98" s="31"/>
      <c r="B98" s="76" t="s">
        <v>21</v>
      </c>
      <c r="C98" s="76" t="s">
        <v>160</v>
      </c>
      <c r="D98" s="76" t="s">
        <v>163</v>
      </c>
      <c r="E98" s="65" t="s">
        <v>166</v>
      </c>
      <c r="F98" s="76" t="s">
        <v>169</v>
      </c>
      <c r="G98" s="66" t="s">
        <v>170</v>
      </c>
      <c r="H98" s="76">
        <f t="shared" si="34"/>
        <v>39.76</v>
      </c>
      <c r="I98" s="260" t="str">
        <f t="shared" si="35"/>
        <v>A1_B1_C1_D2_E1</v>
      </c>
      <c r="J98" s="25"/>
      <c r="K98" s="25"/>
      <c r="L98" s="25"/>
      <c r="M98" s="25"/>
    </row>
    <row r="99" spans="1:13" ht="13.8">
      <c r="A99" s="31"/>
      <c r="B99" s="76" t="s">
        <v>21</v>
      </c>
      <c r="C99" s="76" t="s">
        <v>160</v>
      </c>
      <c r="D99" s="76" t="s">
        <v>163</v>
      </c>
      <c r="E99" s="65" t="s">
        <v>166</v>
      </c>
      <c r="F99" s="76" t="s">
        <v>169</v>
      </c>
      <c r="G99" s="66" t="s">
        <v>171</v>
      </c>
      <c r="H99" s="76">
        <f t="shared" si="34"/>
        <v>37.051000000000002</v>
      </c>
      <c r="I99" s="260" t="str">
        <f t="shared" si="35"/>
        <v>A1_B1_C1_D2_E2</v>
      </c>
      <c r="J99" s="25"/>
      <c r="K99" s="25"/>
      <c r="L99" s="25"/>
      <c r="M99" s="25"/>
    </row>
    <row r="100" spans="1:13" ht="13.8">
      <c r="A100" s="31"/>
      <c r="B100" s="76" t="s">
        <v>21</v>
      </c>
      <c r="C100" s="76" t="s">
        <v>160</v>
      </c>
      <c r="D100" s="76" t="s">
        <v>163</v>
      </c>
      <c r="E100" s="65" t="s">
        <v>167</v>
      </c>
      <c r="F100" s="76" t="s">
        <v>168</v>
      </c>
      <c r="G100" s="66" t="s">
        <v>170</v>
      </c>
      <c r="H100" s="76">
        <f t="shared" si="34"/>
        <v>36.210999999999999</v>
      </c>
      <c r="I100" s="260" t="str">
        <f t="shared" si="35"/>
        <v>A1_B1_C2_D1_E1</v>
      </c>
      <c r="J100" s="25"/>
      <c r="K100" s="25"/>
      <c r="L100" s="25"/>
      <c r="M100" s="25"/>
    </row>
    <row r="101" spans="1:13" ht="13.8">
      <c r="A101" s="31"/>
      <c r="B101" s="76" t="s">
        <v>21</v>
      </c>
      <c r="C101" s="76" t="s">
        <v>160</v>
      </c>
      <c r="D101" s="76" t="s">
        <v>163</v>
      </c>
      <c r="E101" s="65" t="s">
        <v>167</v>
      </c>
      <c r="F101" s="76" t="s">
        <v>168</v>
      </c>
      <c r="G101" s="66" t="s">
        <v>171</v>
      </c>
      <c r="H101" s="76">
        <f t="shared" si="34"/>
        <v>44.223999999999997</v>
      </c>
      <c r="I101" s="260" t="str">
        <f t="shared" si="35"/>
        <v>A1_B1_C2_D1_E2</v>
      </c>
      <c r="J101" s="25"/>
      <c r="K101" s="25"/>
      <c r="L101" s="25"/>
      <c r="M101" s="25"/>
    </row>
    <row r="102" spans="1:13" ht="13.8">
      <c r="A102" s="31"/>
      <c r="B102" s="76" t="s">
        <v>21</v>
      </c>
      <c r="C102" s="76" t="s">
        <v>160</v>
      </c>
      <c r="D102" s="76" t="s">
        <v>163</v>
      </c>
      <c r="E102" s="65" t="s">
        <v>167</v>
      </c>
      <c r="F102" s="76" t="s">
        <v>169</v>
      </c>
      <c r="G102" s="66" t="s">
        <v>170</v>
      </c>
      <c r="H102" s="76">
        <f t="shared" si="34"/>
        <v>22.92</v>
      </c>
      <c r="I102" s="260" t="str">
        <f t="shared" si="35"/>
        <v>A1_B1_C2_D2_E1</v>
      </c>
      <c r="J102" s="25"/>
      <c r="K102" s="25"/>
      <c r="L102" s="25"/>
      <c r="M102" s="25"/>
    </row>
    <row r="103" spans="1:13" ht="13.8">
      <c r="A103" s="31"/>
      <c r="B103" s="76" t="s">
        <v>21</v>
      </c>
      <c r="C103" s="76" t="s">
        <v>160</v>
      </c>
      <c r="D103" s="76" t="s">
        <v>163</v>
      </c>
      <c r="E103" s="65" t="s">
        <v>167</v>
      </c>
      <c r="F103" s="76" t="s">
        <v>169</v>
      </c>
      <c r="G103" s="66" t="s">
        <v>171</v>
      </c>
      <c r="H103" s="76">
        <f t="shared" si="34"/>
        <v>36.008000000000003</v>
      </c>
      <c r="I103" s="260" t="str">
        <f t="shared" si="35"/>
        <v>A1_B1_C2_D2_E2</v>
      </c>
      <c r="J103" s="25"/>
      <c r="K103" s="25"/>
      <c r="L103" s="25"/>
      <c r="M103" s="25"/>
    </row>
    <row r="104" spans="1:13" ht="13.8">
      <c r="A104" s="31"/>
      <c r="B104" s="76" t="s">
        <v>21</v>
      </c>
      <c r="C104" s="76" t="s">
        <v>160</v>
      </c>
      <c r="D104" s="76" t="s">
        <v>164</v>
      </c>
      <c r="E104" s="65" t="s">
        <v>166</v>
      </c>
      <c r="F104" s="76" t="s">
        <v>168</v>
      </c>
      <c r="G104" s="66" t="s">
        <v>170</v>
      </c>
      <c r="H104" s="76">
        <f t="shared" si="34"/>
        <v>22.044</v>
      </c>
      <c r="I104" s="260" t="str">
        <f t="shared" si="35"/>
        <v>A1_B2_C1_D1_E1</v>
      </c>
      <c r="J104" s="25"/>
      <c r="K104" s="25"/>
      <c r="L104" s="25"/>
      <c r="M104" s="25"/>
    </row>
    <row r="105" spans="1:13" ht="13.8">
      <c r="A105" s="31"/>
      <c r="B105" s="76" t="s">
        <v>21</v>
      </c>
      <c r="C105" s="76" t="s">
        <v>160</v>
      </c>
      <c r="D105" s="76" t="s">
        <v>164</v>
      </c>
      <c r="E105" s="65" t="s">
        <v>166</v>
      </c>
      <c r="F105" s="76" t="s">
        <v>168</v>
      </c>
      <c r="G105" s="66" t="s">
        <v>171</v>
      </c>
      <c r="H105" s="76">
        <f t="shared" si="34"/>
        <v>24.526</v>
      </c>
      <c r="I105" s="260" t="str">
        <f t="shared" si="35"/>
        <v>A1_B2_C1_D1_E2</v>
      </c>
      <c r="J105" s="25"/>
      <c r="K105" s="25"/>
      <c r="L105" s="25"/>
      <c r="M105" s="25"/>
    </row>
    <row r="106" spans="1:13" ht="13.8">
      <c r="A106" s="31"/>
      <c r="B106" s="76" t="s">
        <v>21</v>
      </c>
      <c r="C106" s="76" t="s">
        <v>160</v>
      </c>
      <c r="D106" s="76" t="s">
        <v>164</v>
      </c>
      <c r="E106" s="65" t="s">
        <v>166</v>
      </c>
      <c r="F106" s="76" t="s">
        <v>169</v>
      </c>
      <c r="G106" s="66" t="s">
        <v>170</v>
      </c>
      <c r="H106" s="76">
        <f t="shared" si="34"/>
        <v>40.853000000000002</v>
      </c>
      <c r="I106" s="260" t="str">
        <f t="shared" si="35"/>
        <v>A1_B2_C1_D2_E1</v>
      </c>
      <c r="J106" s="25"/>
      <c r="K106" s="25"/>
      <c r="L106" s="25"/>
      <c r="M106" s="25"/>
    </row>
    <row r="107" spans="1:13" ht="13.8">
      <c r="A107" s="31"/>
      <c r="B107" s="76" t="s">
        <v>21</v>
      </c>
      <c r="C107" s="76" t="s">
        <v>160</v>
      </c>
      <c r="D107" s="76" t="s">
        <v>164</v>
      </c>
      <c r="E107" s="65" t="s">
        <v>166</v>
      </c>
      <c r="F107" s="76" t="s">
        <v>169</v>
      </c>
      <c r="G107" s="66" t="s">
        <v>171</v>
      </c>
      <c r="H107" s="76">
        <f t="shared" si="34"/>
        <v>38.962000000000003</v>
      </c>
      <c r="I107" s="260" t="str">
        <f t="shared" si="35"/>
        <v>A1_B2_C1_D2_E2</v>
      </c>
      <c r="J107" s="25"/>
      <c r="K107" s="25"/>
      <c r="L107" s="25"/>
      <c r="M107" s="25"/>
    </row>
    <row r="108" spans="1:13" ht="13.8">
      <c r="A108" s="31"/>
      <c r="B108" s="76" t="s">
        <v>21</v>
      </c>
      <c r="C108" s="76" t="s">
        <v>160</v>
      </c>
      <c r="D108" s="76" t="s">
        <v>164</v>
      </c>
      <c r="E108" s="65" t="s">
        <v>167</v>
      </c>
      <c r="F108" s="76" t="s">
        <v>168</v>
      </c>
      <c r="G108" s="66" t="s">
        <v>170</v>
      </c>
      <c r="H108" s="76">
        <f t="shared" si="34"/>
        <v>43.155000000000001</v>
      </c>
      <c r="I108" s="260" t="str">
        <f t="shared" si="35"/>
        <v>A1_B2_C2_D1_E1</v>
      </c>
      <c r="J108" s="25"/>
      <c r="K108" s="25"/>
      <c r="L108" s="25"/>
      <c r="M108" s="25"/>
    </row>
    <row r="109" spans="1:13" ht="13.8">
      <c r="A109" s="31"/>
      <c r="B109" s="76" t="s">
        <v>21</v>
      </c>
      <c r="C109" s="76" t="s">
        <v>160</v>
      </c>
      <c r="D109" s="76" t="s">
        <v>164</v>
      </c>
      <c r="E109" s="65" t="s">
        <v>167</v>
      </c>
      <c r="F109" s="76" t="s">
        <v>168</v>
      </c>
      <c r="G109" s="66" t="s">
        <v>171</v>
      </c>
      <c r="H109" s="76">
        <f t="shared" si="34"/>
        <v>20.640999999999998</v>
      </c>
      <c r="I109" s="260" t="str">
        <f t="shared" si="35"/>
        <v>A1_B2_C2_D1_E2</v>
      </c>
      <c r="J109" s="25"/>
      <c r="K109" s="25"/>
      <c r="L109" s="25"/>
      <c r="M109" s="25"/>
    </row>
    <row r="110" spans="1:13" ht="13.8">
      <c r="A110" s="31"/>
      <c r="B110" s="76" t="s">
        <v>21</v>
      </c>
      <c r="C110" s="76" t="s">
        <v>160</v>
      </c>
      <c r="D110" s="76" t="s">
        <v>164</v>
      </c>
      <c r="E110" s="65" t="s">
        <v>167</v>
      </c>
      <c r="F110" s="76" t="s">
        <v>169</v>
      </c>
      <c r="G110" s="66" t="s">
        <v>170</v>
      </c>
      <c r="H110" s="76">
        <f t="shared" si="34"/>
        <v>26.094000000000001</v>
      </c>
      <c r="I110" s="260" t="str">
        <f t="shared" si="35"/>
        <v>A1_B2_C2_D2_E1</v>
      </c>
      <c r="J110" s="25"/>
      <c r="K110" s="25"/>
      <c r="L110" s="25"/>
      <c r="M110" s="25"/>
    </row>
    <row r="111" spans="1:13" ht="13.8">
      <c r="A111" s="31"/>
      <c r="B111" s="76" t="s">
        <v>21</v>
      </c>
      <c r="C111" s="76" t="s">
        <v>160</v>
      </c>
      <c r="D111" s="76" t="s">
        <v>164</v>
      </c>
      <c r="E111" s="65" t="s">
        <v>167</v>
      </c>
      <c r="F111" s="76" t="s">
        <v>169</v>
      </c>
      <c r="G111" s="66" t="s">
        <v>171</v>
      </c>
      <c r="H111" s="76">
        <f t="shared" si="34"/>
        <v>36.665999999999997</v>
      </c>
      <c r="I111" s="260" t="str">
        <f t="shared" si="35"/>
        <v>A1_B2_C2_D2_E2</v>
      </c>
      <c r="J111" s="25"/>
      <c r="K111" s="25"/>
      <c r="L111" s="25"/>
      <c r="M111" s="25"/>
    </row>
    <row r="112" spans="1:13" ht="13.8">
      <c r="A112" s="31"/>
      <c r="B112" s="76" t="s">
        <v>21</v>
      </c>
      <c r="C112" s="76" t="s">
        <v>160</v>
      </c>
      <c r="D112" s="76" t="s">
        <v>165</v>
      </c>
      <c r="E112" s="65" t="s">
        <v>166</v>
      </c>
      <c r="F112" s="76" t="s">
        <v>168</v>
      </c>
      <c r="G112" s="66" t="s">
        <v>170</v>
      </c>
      <c r="H112" s="76">
        <f t="shared" si="34"/>
        <v>27.152000000000001</v>
      </c>
      <c r="I112" s="260" t="str">
        <f t="shared" si="35"/>
        <v>A1_B3_C1_D1_E1</v>
      </c>
      <c r="J112" s="25"/>
      <c r="K112" s="25"/>
      <c r="L112" s="25"/>
      <c r="M112" s="25"/>
    </row>
    <row r="113" spans="1:13" ht="13.8">
      <c r="A113" s="31"/>
      <c r="B113" s="76" t="s">
        <v>21</v>
      </c>
      <c r="C113" s="76" t="s">
        <v>160</v>
      </c>
      <c r="D113" s="76" t="s">
        <v>165</v>
      </c>
      <c r="E113" s="65" t="s">
        <v>166</v>
      </c>
      <c r="F113" s="76" t="s">
        <v>168</v>
      </c>
      <c r="G113" s="65" t="s">
        <v>171</v>
      </c>
      <c r="H113" s="76">
        <f t="shared" si="34"/>
        <v>25.106000000000002</v>
      </c>
      <c r="I113" s="260" t="str">
        <f t="shared" si="35"/>
        <v>A1_B3_C1_D1_E2</v>
      </c>
      <c r="J113" s="25"/>
      <c r="K113" s="25"/>
      <c r="L113" s="25"/>
      <c r="M113" s="25"/>
    </row>
    <row r="114" spans="1:13" ht="13.8">
      <c r="A114" s="31"/>
      <c r="B114" s="76" t="s">
        <v>21</v>
      </c>
      <c r="C114" s="76" t="s">
        <v>160</v>
      </c>
      <c r="D114" s="76" t="s">
        <v>165</v>
      </c>
      <c r="E114" s="65" t="s">
        <v>166</v>
      </c>
      <c r="F114" s="77" t="s">
        <v>169</v>
      </c>
      <c r="G114" s="65" t="s">
        <v>170</v>
      </c>
      <c r="H114" s="76">
        <f t="shared" si="34"/>
        <v>29.940999999999999</v>
      </c>
      <c r="I114" s="260" t="str">
        <f t="shared" si="35"/>
        <v>A1_B3_C1_D2_E1</v>
      </c>
      <c r="J114" s="25"/>
      <c r="K114" s="25"/>
      <c r="L114" s="25"/>
      <c r="M114" s="25"/>
    </row>
    <row r="115" spans="1:13" ht="13.8">
      <c r="A115" s="31"/>
      <c r="B115" s="76" t="s">
        <v>21</v>
      </c>
      <c r="C115" s="76" t="s">
        <v>160</v>
      </c>
      <c r="D115" s="76" t="s">
        <v>165</v>
      </c>
      <c r="E115" s="65" t="s">
        <v>166</v>
      </c>
      <c r="F115" s="77" t="s">
        <v>169</v>
      </c>
      <c r="G115" s="65" t="s">
        <v>171</v>
      </c>
      <c r="H115" s="76">
        <f t="shared" si="34"/>
        <v>43.531999999999996</v>
      </c>
      <c r="I115" s="260" t="str">
        <f t="shared" si="35"/>
        <v>A1_B3_C1_D2_E2</v>
      </c>
      <c r="J115" s="25"/>
      <c r="K115" s="25"/>
      <c r="L115" s="25"/>
      <c r="M115" s="25"/>
    </row>
    <row r="116" spans="1:13" ht="13.8">
      <c r="A116" s="31"/>
      <c r="B116" s="76" t="s">
        <v>21</v>
      </c>
      <c r="C116" s="76" t="s">
        <v>160</v>
      </c>
      <c r="D116" s="76" t="s">
        <v>165</v>
      </c>
      <c r="E116" s="65" t="s">
        <v>167</v>
      </c>
      <c r="F116" s="77" t="s">
        <v>168</v>
      </c>
      <c r="G116" s="65" t="s">
        <v>170</v>
      </c>
      <c r="H116" s="76">
        <f t="shared" si="34"/>
        <v>40.920999999999999</v>
      </c>
      <c r="I116" s="260" t="str">
        <f t="shared" si="35"/>
        <v>A1_B3_C2_D1_E1</v>
      </c>
      <c r="J116" s="25"/>
      <c r="K116" s="25"/>
      <c r="L116" s="25"/>
      <c r="M116" s="25"/>
    </row>
    <row r="117" spans="1:13" ht="13.8">
      <c r="A117" s="31"/>
      <c r="B117" s="76" t="s">
        <v>21</v>
      </c>
      <c r="C117" s="76" t="s">
        <v>160</v>
      </c>
      <c r="D117" s="76" t="s">
        <v>165</v>
      </c>
      <c r="E117" s="65" t="s">
        <v>167</v>
      </c>
      <c r="F117" s="77" t="s">
        <v>168</v>
      </c>
      <c r="G117" s="65" t="s">
        <v>171</v>
      </c>
      <c r="H117" s="76">
        <f t="shared" si="34"/>
        <v>31.934000000000001</v>
      </c>
      <c r="I117" s="260" t="str">
        <f t="shared" si="35"/>
        <v>A1_B3_C2_D1_E2</v>
      </c>
      <c r="J117" s="25"/>
      <c r="K117" s="25"/>
      <c r="L117" s="25"/>
      <c r="M117" s="25"/>
    </row>
    <row r="118" spans="1:13" ht="13.8">
      <c r="A118" s="31"/>
      <c r="B118" s="76" t="s">
        <v>21</v>
      </c>
      <c r="C118" s="76" t="s">
        <v>160</v>
      </c>
      <c r="D118" s="76" t="s">
        <v>165</v>
      </c>
      <c r="E118" s="65" t="s">
        <v>167</v>
      </c>
      <c r="F118" s="77" t="s">
        <v>169</v>
      </c>
      <c r="G118" s="65" t="s">
        <v>170</v>
      </c>
      <c r="H118" s="76">
        <f t="shared" si="34"/>
        <v>41.366</v>
      </c>
      <c r="I118" s="260" t="str">
        <f t="shared" si="35"/>
        <v>A1_B3_C2_D2_E1</v>
      </c>
      <c r="J118" s="25"/>
      <c r="K118" s="25"/>
      <c r="L118" s="25"/>
      <c r="M118" s="25"/>
    </row>
    <row r="119" spans="1:13" ht="13.8">
      <c r="A119" s="31"/>
      <c r="B119" s="76" t="s">
        <v>21</v>
      </c>
      <c r="C119" s="76" t="s">
        <v>160</v>
      </c>
      <c r="D119" s="76" t="s">
        <v>165</v>
      </c>
      <c r="E119" s="65" t="s">
        <v>167</v>
      </c>
      <c r="F119" s="77" t="s">
        <v>169</v>
      </c>
      <c r="G119" s="65" t="s">
        <v>171</v>
      </c>
      <c r="H119" s="76">
        <f t="shared" si="34"/>
        <v>44.613</v>
      </c>
      <c r="I119" s="260" t="str">
        <f t="shared" si="35"/>
        <v>A1_B3_C2_D2_E2</v>
      </c>
      <c r="J119" s="25"/>
      <c r="K119" s="25"/>
      <c r="L119" s="25"/>
      <c r="M119" s="25"/>
    </row>
    <row r="120" spans="1:13" ht="13.8">
      <c r="A120" s="31"/>
      <c r="B120" s="76" t="s">
        <v>21</v>
      </c>
      <c r="C120" s="76" t="s">
        <v>161</v>
      </c>
      <c r="D120" s="76" t="s">
        <v>163</v>
      </c>
      <c r="E120" s="65" t="s">
        <v>166</v>
      </c>
      <c r="F120" s="77" t="s">
        <v>168</v>
      </c>
      <c r="G120" s="65" t="s">
        <v>170</v>
      </c>
      <c r="H120" s="76">
        <f t="shared" si="34"/>
        <v>48.395000000000003</v>
      </c>
      <c r="I120" s="260" t="str">
        <f t="shared" si="35"/>
        <v>A2_B1_C1_D1_E1</v>
      </c>
      <c r="J120" s="25"/>
      <c r="K120" s="25"/>
      <c r="L120" s="25"/>
      <c r="M120" s="25"/>
    </row>
    <row r="121" spans="1:13" ht="13.8">
      <c r="A121" s="31"/>
      <c r="B121" s="76" t="s">
        <v>21</v>
      </c>
      <c r="C121" s="76" t="s">
        <v>161</v>
      </c>
      <c r="D121" s="76" t="s">
        <v>163</v>
      </c>
      <c r="E121" s="65" t="s">
        <v>166</v>
      </c>
      <c r="F121" s="77" t="s">
        <v>168</v>
      </c>
      <c r="G121" s="65" t="s">
        <v>171</v>
      </c>
      <c r="H121" s="76">
        <f t="shared" si="34"/>
        <v>47.034999999999997</v>
      </c>
      <c r="I121" s="260" t="str">
        <f t="shared" si="35"/>
        <v>A2_B1_C1_D1_E2</v>
      </c>
      <c r="J121" s="25"/>
      <c r="K121" s="25"/>
      <c r="L121" s="25"/>
      <c r="M121" s="25"/>
    </row>
    <row r="122" spans="1:13" ht="13.8">
      <c r="A122" s="29"/>
      <c r="B122" s="76" t="s">
        <v>21</v>
      </c>
      <c r="C122" s="76" t="s">
        <v>161</v>
      </c>
      <c r="D122" s="77" t="s">
        <v>163</v>
      </c>
      <c r="E122" s="65" t="s">
        <v>166</v>
      </c>
      <c r="F122" s="77" t="s">
        <v>169</v>
      </c>
      <c r="G122" s="65" t="s">
        <v>170</v>
      </c>
      <c r="H122" s="76">
        <f t="shared" si="34"/>
        <v>34.506999999999998</v>
      </c>
      <c r="I122" s="260" t="str">
        <f t="shared" si="35"/>
        <v>A2_B1_C1_D2_E1</v>
      </c>
      <c r="J122" s="25"/>
      <c r="K122" s="25"/>
      <c r="L122" s="25"/>
      <c r="M122" s="25"/>
    </row>
    <row r="123" spans="1:13">
      <c r="A123" s="25"/>
      <c r="B123" s="77" t="s">
        <v>21</v>
      </c>
      <c r="C123" s="77" t="s">
        <v>161</v>
      </c>
      <c r="D123" s="77" t="s">
        <v>163</v>
      </c>
      <c r="E123" s="65" t="s">
        <v>166</v>
      </c>
      <c r="F123" s="77" t="s">
        <v>169</v>
      </c>
      <c r="G123" s="65" t="s">
        <v>171</v>
      </c>
      <c r="H123" s="76">
        <f t="shared" si="34"/>
        <v>36.877000000000002</v>
      </c>
      <c r="I123" s="260" t="str">
        <f t="shared" si="35"/>
        <v>A2_B1_C1_D2_E2</v>
      </c>
      <c r="J123" s="25"/>
      <c r="K123" s="25"/>
      <c r="L123" s="25"/>
      <c r="M123" s="25"/>
    </row>
    <row r="124" spans="1:13" ht="13.8">
      <c r="A124" s="29"/>
      <c r="B124" s="77" t="s">
        <v>21</v>
      </c>
      <c r="C124" s="77" t="s">
        <v>161</v>
      </c>
      <c r="D124" s="77" t="s">
        <v>163</v>
      </c>
      <c r="E124" s="65" t="s">
        <v>167</v>
      </c>
      <c r="F124" s="77" t="s">
        <v>168</v>
      </c>
      <c r="G124" s="65" t="s">
        <v>170</v>
      </c>
      <c r="H124" s="76">
        <f t="shared" si="34"/>
        <v>45.5</v>
      </c>
      <c r="I124" s="260" t="str">
        <f t="shared" si="35"/>
        <v>A2_B1_C2_D1_E1</v>
      </c>
      <c r="J124" s="25"/>
      <c r="K124" s="25"/>
      <c r="L124" s="25"/>
      <c r="M124" s="25"/>
    </row>
    <row r="125" spans="1:13" ht="13.8">
      <c r="A125" s="58"/>
      <c r="B125" s="78" t="s">
        <v>21</v>
      </c>
      <c r="C125" s="78" t="s">
        <v>161</v>
      </c>
      <c r="D125" s="78" t="s">
        <v>163</v>
      </c>
      <c r="E125" s="71" t="s">
        <v>167</v>
      </c>
      <c r="F125" s="78" t="s">
        <v>168</v>
      </c>
      <c r="G125" s="71" t="s">
        <v>171</v>
      </c>
      <c r="H125" s="164">
        <f t="shared" si="34"/>
        <v>47.128</v>
      </c>
      <c r="I125" s="260" t="str">
        <f t="shared" si="35"/>
        <v>A2_B1_C2_D1_E2</v>
      </c>
      <c r="J125" s="25"/>
      <c r="K125" s="25"/>
      <c r="L125" s="25"/>
      <c r="M125" s="25"/>
    </row>
    <row r="126" spans="1:13" s="35" customFormat="1">
      <c r="A126" s="59"/>
      <c r="B126" s="76" t="s">
        <v>21</v>
      </c>
      <c r="C126" s="76" t="s">
        <v>161</v>
      </c>
      <c r="D126" s="82" t="s">
        <v>163</v>
      </c>
      <c r="E126" s="68" t="s">
        <v>167</v>
      </c>
      <c r="F126" s="79" t="s">
        <v>169</v>
      </c>
      <c r="G126" s="69" t="s">
        <v>170</v>
      </c>
      <c r="H126" s="76">
        <f t="shared" si="34"/>
        <v>20.681000000000001</v>
      </c>
      <c r="I126" s="260" t="str">
        <f t="shared" si="35"/>
        <v>A2_B1_C2_D2_E1</v>
      </c>
      <c r="J126" s="34"/>
      <c r="K126" s="34"/>
      <c r="L126" s="34"/>
      <c r="M126" s="34"/>
    </row>
    <row r="127" spans="1:13" s="35" customFormat="1">
      <c r="A127" s="59"/>
      <c r="B127" s="76" t="s">
        <v>21</v>
      </c>
      <c r="C127" s="76" t="s">
        <v>161</v>
      </c>
      <c r="D127" s="82" t="s">
        <v>163</v>
      </c>
      <c r="E127" s="68" t="s">
        <v>167</v>
      </c>
      <c r="F127" s="79" t="s">
        <v>169</v>
      </c>
      <c r="G127" s="69" t="s">
        <v>171</v>
      </c>
      <c r="H127" s="76">
        <f t="shared" si="34"/>
        <v>26.937999999999999</v>
      </c>
      <c r="I127" s="260" t="str">
        <f t="shared" si="35"/>
        <v>A2_B1_C2_D2_E2</v>
      </c>
      <c r="J127" s="34"/>
      <c r="K127" s="34"/>
      <c r="L127" s="34"/>
      <c r="M127" s="34"/>
    </row>
    <row r="128" spans="1:13" s="35" customFormat="1">
      <c r="A128" s="59"/>
      <c r="B128" s="76" t="s">
        <v>21</v>
      </c>
      <c r="C128" s="76" t="s">
        <v>161</v>
      </c>
      <c r="D128" s="82" t="s">
        <v>164</v>
      </c>
      <c r="E128" s="68" t="s">
        <v>166</v>
      </c>
      <c r="F128" s="79" t="s">
        <v>168</v>
      </c>
      <c r="G128" s="69" t="s">
        <v>170</v>
      </c>
      <c r="H128" s="76">
        <f t="shared" ref="H128:H159" si="36">IF(H47="","",H47)</f>
        <v>25.712</v>
      </c>
      <c r="I128" s="260" t="str">
        <f t="shared" si="35"/>
        <v>A2_B2_C1_D1_E1</v>
      </c>
      <c r="J128" s="34"/>
      <c r="K128" s="34"/>
      <c r="L128" s="34"/>
      <c r="M128" s="34"/>
    </row>
    <row r="129" spans="1:13" s="35" customFormat="1">
      <c r="A129" s="59"/>
      <c r="B129" s="76" t="s">
        <v>21</v>
      </c>
      <c r="C129" s="76" t="s">
        <v>161</v>
      </c>
      <c r="D129" s="82" t="s">
        <v>164</v>
      </c>
      <c r="E129" s="68" t="s">
        <v>166</v>
      </c>
      <c r="F129" s="79" t="s">
        <v>168</v>
      </c>
      <c r="G129" s="69" t="s">
        <v>171</v>
      </c>
      <c r="H129" s="76">
        <f t="shared" si="36"/>
        <v>26.844999999999999</v>
      </c>
      <c r="I129" s="260" t="str">
        <f t="shared" si="35"/>
        <v>A2_B2_C1_D1_E2</v>
      </c>
      <c r="J129" s="34"/>
      <c r="K129" s="34"/>
      <c r="L129" s="34"/>
      <c r="M129" s="34"/>
    </row>
    <row r="130" spans="1:13" s="35" customFormat="1">
      <c r="A130" s="59"/>
      <c r="B130" s="76" t="s">
        <v>21</v>
      </c>
      <c r="C130" s="76" t="s">
        <v>161</v>
      </c>
      <c r="D130" s="82" t="s">
        <v>164</v>
      </c>
      <c r="E130" s="68" t="s">
        <v>166</v>
      </c>
      <c r="F130" s="79" t="s">
        <v>169</v>
      </c>
      <c r="G130" s="69" t="s">
        <v>170</v>
      </c>
      <c r="H130" s="76">
        <f t="shared" si="36"/>
        <v>45.835999999999999</v>
      </c>
      <c r="I130" s="260" t="str">
        <f t="shared" si="35"/>
        <v>A2_B2_C1_D2_E1</v>
      </c>
      <c r="J130" s="34"/>
      <c r="K130" s="34"/>
      <c r="L130" s="34"/>
      <c r="M130" s="34"/>
    </row>
    <row r="131" spans="1:13" s="37" customFormat="1" ht="13.8">
      <c r="A131" s="60"/>
      <c r="B131" s="84" t="s">
        <v>21</v>
      </c>
      <c r="C131" s="84" t="s">
        <v>161</v>
      </c>
      <c r="D131" s="83" t="s">
        <v>164</v>
      </c>
      <c r="E131" s="73" t="s">
        <v>166</v>
      </c>
      <c r="F131" s="80" t="s">
        <v>169</v>
      </c>
      <c r="G131" s="74" t="s">
        <v>171</v>
      </c>
      <c r="H131" s="84">
        <f t="shared" si="36"/>
        <v>42.442</v>
      </c>
      <c r="I131" s="260" t="str">
        <f t="shared" si="35"/>
        <v>A2_B2_C1_D2_E2</v>
      </c>
      <c r="J131" s="36"/>
      <c r="K131" s="36"/>
      <c r="L131" s="36"/>
      <c r="M131" s="36"/>
    </row>
    <row r="132" spans="1:13" s="37" customFormat="1" ht="13.8">
      <c r="A132" s="60"/>
      <c r="B132" s="84" t="s">
        <v>21</v>
      </c>
      <c r="C132" s="84" t="s">
        <v>161</v>
      </c>
      <c r="D132" s="83" t="s">
        <v>164</v>
      </c>
      <c r="E132" s="73" t="s">
        <v>167</v>
      </c>
      <c r="F132" s="80" t="s">
        <v>168</v>
      </c>
      <c r="G132" s="74" t="s">
        <v>170</v>
      </c>
      <c r="H132" s="84">
        <f t="shared" si="36"/>
        <v>24.645</v>
      </c>
      <c r="I132" s="260" t="str">
        <f t="shared" si="35"/>
        <v>A2_B2_C2_D1_E1</v>
      </c>
      <c r="J132" s="36"/>
      <c r="K132" s="36"/>
      <c r="L132" s="36"/>
      <c r="M132" s="36"/>
    </row>
    <row r="133" spans="1:13" s="37" customFormat="1" ht="13.8">
      <c r="A133" s="60"/>
      <c r="B133" s="84" t="s">
        <v>21</v>
      </c>
      <c r="C133" s="84" t="s">
        <v>161</v>
      </c>
      <c r="D133" s="83" t="s">
        <v>164</v>
      </c>
      <c r="E133" s="73" t="s">
        <v>167</v>
      </c>
      <c r="F133" s="80" t="s">
        <v>168</v>
      </c>
      <c r="G133" s="74" t="s">
        <v>171</v>
      </c>
      <c r="H133" s="84">
        <f t="shared" si="36"/>
        <v>48.698</v>
      </c>
      <c r="I133" s="260" t="str">
        <f t="shared" si="35"/>
        <v>A2_B2_C2_D1_E2</v>
      </c>
      <c r="J133" s="36"/>
      <c r="K133" s="36"/>
      <c r="L133" s="36"/>
      <c r="M133" s="36"/>
    </row>
    <row r="134" spans="1:13" s="37" customFormat="1" ht="13.8">
      <c r="A134" s="60"/>
      <c r="B134" s="84" t="s">
        <v>21</v>
      </c>
      <c r="C134" s="84" t="s">
        <v>161</v>
      </c>
      <c r="D134" s="83" t="s">
        <v>164</v>
      </c>
      <c r="E134" s="73" t="s">
        <v>167</v>
      </c>
      <c r="F134" s="80" t="s">
        <v>169</v>
      </c>
      <c r="G134" s="74" t="s">
        <v>170</v>
      </c>
      <c r="H134" s="84">
        <f t="shared" si="36"/>
        <v>29.385999999999999</v>
      </c>
      <c r="I134" s="260" t="str">
        <f t="shared" si="35"/>
        <v>A2_B2_C2_D2_E1</v>
      </c>
      <c r="J134" s="36"/>
      <c r="K134" s="36"/>
      <c r="L134" s="36"/>
      <c r="M134" s="36"/>
    </row>
    <row r="135" spans="1:13" s="37" customFormat="1" ht="13.8">
      <c r="A135" s="60"/>
      <c r="B135" s="84" t="s">
        <v>21</v>
      </c>
      <c r="C135" s="84" t="s">
        <v>161</v>
      </c>
      <c r="D135" s="83" t="s">
        <v>164</v>
      </c>
      <c r="E135" s="73" t="s">
        <v>167</v>
      </c>
      <c r="F135" s="80" t="s">
        <v>169</v>
      </c>
      <c r="G135" s="74" t="s">
        <v>171</v>
      </c>
      <c r="H135" s="84">
        <f t="shared" si="36"/>
        <v>49.29</v>
      </c>
      <c r="I135" s="260" t="str">
        <f t="shared" si="35"/>
        <v>A2_B2_C2_D2_E2</v>
      </c>
      <c r="J135" s="36"/>
      <c r="K135" s="36"/>
      <c r="L135" s="36"/>
      <c r="M135" s="36"/>
    </row>
    <row r="136" spans="1:13" s="37" customFormat="1" ht="13.8">
      <c r="A136" s="60"/>
      <c r="B136" s="84" t="s">
        <v>21</v>
      </c>
      <c r="C136" s="84" t="s">
        <v>161</v>
      </c>
      <c r="D136" s="83" t="s">
        <v>165</v>
      </c>
      <c r="E136" s="73" t="s">
        <v>166</v>
      </c>
      <c r="F136" s="80" t="s">
        <v>168</v>
      </c>
      <c r="G136" s="74" t="s">
        <v>170</v>
      </c>
      <c r="H136" s="84">
        <f t="shared" si="36"/>
        <v>27.123999999999999</v>
      </c>
      <c r="I136" s="260" t="str">
        <f t="shared" si="35"/>
        <v>A2_B3_C1_D1_E1</v>
      </c>
      <c r="J136" s="36"/>
      <c r="K136" s="36"/>
      <c r="L136" s="36"/>
      <c r="M136" s="36"/>
    </row>
    <row r="137" spans="1:13" s="37" customFormat="1" ht="13.8">
      <c r="A137" s="60"/>
      <c r="B137" s="84" t="s">
        <v>21</v>
      </c>
      <c r="C137" s="84" t="s">
        <v>161</v>
      </c>
      <c r="D137" s="83" t="s">
        <v>165</v>
      </c>
      <c r="E137" s="73" t="s">
        <v>166</v>
      </c>
      <c r="F137" s="80" t="s">
        <v>168</v>
      </c>
      <c r="G137" s="74" t="s">
        <v>171</v>
      </c>
      <c r="H137" s="84">
        <f t="shared" si="36"/>
        <v>45.601999999999997</v>
      </c>
      <c r="I137" s="260" t="str">
        <f t="shared" si="35"/>
        <v>A2_B3_C1_D1_E2</v>
      </c>
      <c r="J137" s="36"/>
      <c r="K137" s="36"/>
      <c r="L137" s="36"/>
      <c r="M137" s="36"/>
    </row>
    <row r="138" spans="1:13" s="37" customFormat="1" ht="13.8">
      <c r="A138" s="60"/>
      <c r="B138" s="84" t="s">
        <v>21</v>
      </c>
      <c r="C138" s="84" t="s">
        <v>161</v>
      </c>
      <c r="D138" s="83" t="s">
        <v>165</v>
      </c>
      <c r="E138" s="73" t="s">
        <v>166</v>
      </c>
      <c r="F138" s="80" t="s">
        <v>169</v>
      </c>
      <c r="G138" s="74" t="s">
        <v>170</v>
      </c>
      <c r="H138" s="84">
        <f t="shared" si="36"/>
        <v>45.389000000000003</v>
      </c>
      <c r="I138" s="260" t="str">
        <f t="shared" si="35"/>
        <v>A2_B3_C1_D2_E1</v>
      </c>
      <c r="J138" s="36"/>
      <c r="K138" s="36"/>
      <c r="L138" s="36"/>
      <c r="M138" s="36"/>
    </row>
    <row r="139" spans="1:13" s="37" customFormat="1" ht="13.8">
      <c r="A139" s="60"/>
      <c r="B139" s="84" t="s">
        <v>21</v>
      </c>
      <c r="C139" s="84" t="s">
        <v>161</v>
      </c>
      <c r="D139" s="83" t="s">
        <v>165</v>
      </c>
      <c r="E139" s="73" t="s">
        <v>166</v>
      </c>
      <c r="F139" s="80" t="s">
        <v>169</v>
      </c>
      <c r="G139" s="74" t="s">
        <v>171</v>
      </c>
      <c r="H139" s="84">
        <f t="shared" si="36"/>
        <v>41.896000000000001</v>
      </c>
      <c r="I139" s="260" t="str">
        <f t="shared" si="35"/>
        <v>A2_B3_C1_D2_E2</v>
      </c>
      <c r="J139" s="36"/>
      <c r="K139" s="36"/>
      <c r="L139" s="36"/>
      <c r="M139" s="36"/>
    </row>
    <row r="140" spans="1:13" s="37" customFormat="1" ht="13.8">
      <c r="A140" s="60"/>
      <c r="B140" s="84" t="s">
        <v>21</v>
      </c>
      <c r="C140" s="84" t="s">
        <v>161</v>
      </c>
      <c r="D140" s="83" t="s">
        <v>165</v>
      </c>
      <c r="E140" s="73" t="s">
        <v>167</v>
      </c>
      <c r="F140" s="80" t="s">
        <v>168</v>
      </c>
      <c r="G140" s="74" t="s">
        <v>170</v>
      </c>
      <c r="H140" s="84">
        <f t="shared" si="36"/>
        <v>45.183</v>
      </c>
      <c r="I140" s="260" t="str">
        <f t="shared" si="35"/>
        <v>A2_B3_C2_D1_E1</v>
      </c>
      <c r="J140" s="36"/>
      <c r="K140" s="36"/>
      <c r="L140" s="36"/>
      <c r="M140" s="36"/>
    </row>
    <row r="141" spans="1:13" s="35" customFormat="1">
      <c r="A141" s="61"/>
      <c r="B141" s="76" t="s">
        <v>21</v>
      </c>
      <c r="C141" s="76" t="s">
        <v>161</v>
      </c>
      <c r="D141" s="82" t="s">
        <v>165</v>
      </c>
      <c r="E141" s="68" t="s">
        <v>167</v>
      </c>
      <c r="F141" s="77" t="s">
        <v>168</v>
      </c>
      <c r="G141" s="65" t="s">
        <v>171</v>
      </c>
      <c r="H141" s="76">
        <f t="shared" si="36"/>
        <v>40.658000000000001</v>
      </c>
      <c r="I141" s="260" t="str">
        <f t="shared" si="35"/>
        <v>A2_B3_C2_D1_E2</v>
      </c>
      <c r="J141" s="34"/>
      <c r="K141" s="34"/>
      <c r="L141" s="34"/>
      <c r="M141" s="34"/>
    </row>
    <row r="142" spans="1:13" s="35" customFormat="1">
      <c r="A142" s="61"/>
      <c r="B142" s="76" t="s">
        <v>21</v>
      </c>
      <c r="C142" s="76" t="s">
        <v>161</v>
      </c>
      <c r="D142" s="82" t="s">
        <v>165</v>
      </c>
      <c r="E142" s="68" t="s">
        <v>167</v>
      </c>
      <c r="F142" s="77" t="s">
        <v>169</v>
      </c>
      <c r="G142" s="65" t="s">
        <v>170</v>
      </c>
      <c r="H142" s="76">
        <f t="shared" si="36"/>
        <v>41.963999999999999</v>
      </c>
      <c r="I142" s="260" t="str">
        <f t="shared" si="35"/>
        <v>A2_B3_C2_D2_E1</v>
      </c>
      <c r="J142" s="34"/>
      <c r="K142" s="34"/>
      <c r="L142" s="34"/>
      <c r="M142" s="34"/>
    </row>
    <row r="143" spans="1:13">
      <c r="A143" s="25"/>
      <c r="B143" s="77" t="s">
        <v>21</v>
      </c>
      <c r="C143" s="77" t="s">
        <v>161</v>
      </c>
      <c r="D143" s="77" t="s">
        <v>165</v>
      </c>
      <c r="E143" s="65" t="s">
        <v>167</v>
      </c>
      <c r="F143" s="77" t="s">
        <v>169</v>
      </c>
      <c r="G143" s="65" t="s">
        <v>171</v>
      </c>
      <c r="H143" s="76">
        <f t="shared" si="36"/>
        <v>48.649000000000001</v>
      </c>
      <c r="I143" s="260" t="str">
        <f t="shared" si="35"/>
        <v>A2_B3_C2_D2_E2</v>
      </c>
      <c r="J143" s="25"/>
      <c r="K143" s="25"/>
      <c r="L143" s="25"/>
      <c r="M143" s="25"/>
    </row>
    <row r="144" spans="1:13">
      <c r="B144" s="77" t="s">
        <v>21</v>
      </c>
      <c r="C144" s="77" t="s">
        <v>162</v>
      </c>
      <c r="D144" s="77" t="s">
        <v>163</v>
      </c>
      <c r="E144" s="70" t="s">
        <v>166</v>
      </c>
      <c r="F144" s="77" t="s">
        <v>168</v>
      </c>
      <c r="G144" s="70" t="s">
        <v>170</v>
      </c>
      <c r="H144" s="76">
        <f t="shared" si="36"/>
        <v>30.404</v>
      </c>
      <c r="I144" s="260" t="str">
        <f t="shared" si="35"/>
        <v>A3_B1_C1_D1_E1</v>
      </c>
      <c r="J144" s="25"/>
      <c r="K144" s="25"/>
      <c r="L144" s="25"/>
      <c r="M144" s="25"/>
    </row>
    <row r="145" spans="2:13">
      <c r="B145" s="77" t="s">
        <v>21</v>
      </c>
      <c r="C145" s="77" t="s">
        <v>162</v>
      </c>
      <c r="D145" s="77" t="s">
        <v>163</v>
      </c>
      <c r="E145" s="70" t="s">
        <v>166</v>
      </c>
      <c r="F145" s="77" t="s">
        <v>168</v>
      </c>
      <c r="G145" s="70" t="s">
        <v>171</v>
      </c>
      <c r="H145" s="76">
        <f t="shared" si="36"/>
        <v>23.853000000000002</v>
      </c>
      <c r="I145" s="260" t="str">
        <f t="shared" si="35"/>
        <v>A3_B1_C1_D1_E2</v>
      </c>
      <c r="J145" s="25"/>
      <c r="K145" s="25"/>
      <c r="L145" s="25"/>
      <c r="M145" s="25"/>
    </row>
    <row r="146" spans="2:13">
      <c r="B146" s="77" t="s">
        <v>21</v>
      </c>
      <c r="C146" s="77" t="s">
        <v>162</v>
      </c>
      <c r="D146" s="77" t="s">
        <v>163</v>
      </c>
      <c r="E146" s="70" t="s">
        <v>166</v>
      </c>
      <c r="F146" s="77" t="s">
        <v>169</v>
      </c>
      <c r="G146" s="70" t="s">
        <v>170</v>
      </c>
      <c r="H146" s="76">
        <f t="shared" si="36"/>
        <v>49.920999999999999</v>
      </c>
      <c r="I146" s="260" t="str">
        <f t="shared" si="35"/>
        <v>A3_B1_C1_D2_E1</v>
      </c>
      <c r="J146" s="25"/>
      <c r="K146" s="25"/>
      <c r="L146" s="25"/>
      <c r="M146" s="25"/>
    </row>
    <row r="147" spans="2:13">
      <c r="B147" s="77" t="s">
        <v>21</v>
      </c>
      <c r="C147" s="77" t="s">
        <v>162</v>
      </c>
      <c r="D147" s="77" t="s">
        <v>163</v>
      </c>
      <c r="E147" s="70" t="s">
        <v>166</v>
      </c>
      <c r="F147" s="77" t="s">
        <v>169</v>
      </c>
      <c r="G147" s="70" t="s">
        <v>171</v>
      </c>
      <c r="H147" s="76">
        <f t="shared" si="36"/>
        <v>49.783999999999999</v>
      </c>
      <c r="I147" s="260" t="str">
        <f t="shared" si="35"/>
        <v>A3_B1_C1_D2_E2</v>
      </c>
      <c r="J147" s="25"/>
      <c r="K147" s="25"/>
      <c r="L147" s="25"/>
      <c r="M147" s="25"/>
    </row>
    <row r="148" spans="2:13">
      <c r="B148" s="77" t="s">
        <v>21</v>
      </c>
      <c r="C148" s="77" t="s">
        <v>162</v>
      </c>
      <c r="D148" s="77" t="s">
        <v>163</v>
      </c>
      <c r="E148" s="70" t="s">
        <v>167</v>
      </c>
      <c r="F148" s="77" t="s">
        <v>168</v>
      </c>
      <c r="G148" s="70" t="s">
        <v>170</v>
      </c>
      <c r="H148" s="76">
        <f t="shared" si="36"/>
        <v>49.066000000000003</v>
      </c>
      <c r="I148" s="260" t="str">
        <f t="shared" si="35"/>
        <v>A3_B1_C2_D1_E1</v>
      </c>
    </row>
    <row r="149" spans="2:13">
      <c r="B149" s="77" t="s">
        <v>21</v>
      </c>
      <c r="C149" s="77" t="s">
        <v>162</v>
      </c>
      <c r="D149" s="77" t="s">
        <v>163</v>
      </c>
      <c r="E149" s="70" t="s">
        <v>167</v>
      </c>
      <c r="F149" s="77" t="s">
        <v>168</v>
      </c>
      <c r="G149" s="70" t="s">
        <v>171</v>
      </c>
      <c r="H149" s="76">
        <f t="shared" si="36"/>
        <v>30.393999999999998</v>
      </c>
      <c r="I149" s="260" t="str">
        <f t="shared" si="35"/>
        <v>A3_B1_C2_D1_E2</v>
      </c>
    </row>
    <row r="150" spans="2:13">
      <c r="B150" s="77" t="s">
        <v>21</v>
      </c>
      <c r="C150" s="77" t="s">
        <v>162</v>
      </c>
      <c r="D150" s="77" t="s">
        <v>163</v>
      </c>
      <c r="E150" s="70" t="s">
        <v>167</v>
      </c>
      <c r="F150" s="77" t="s">
        <v>169</v>
      </c>
      <c r="G150" s="70" t="s">
        <v>170</v>
      </c>
      <c r="H150" s="76">
        <f t="shared" si="36"/>
        <v>26.527000000000001</v>
      </c>
      <c r="I150" s="260" t="str">
        <f t="shared" si="35"/>
        <v>A3_B1_C2_D2_E1</v>
      </c>
    </row>
    <row r="151" spans="2:13">
      <c r="B151" s="77" t="s">
        <v>21</v>
      </c>
      <c r="C151" s="77" t="s">
        <v>162</v>
      </c>
      <c r="D151" s="77" t="s">
        <v>163</v>
      </c>
      <c r="E151" s="70" t="s">
        <v>167</v>
      </c>
      <c r="F151" s="77" t="s">
        <v>169</v>
      </c>
      <c r="G151" s="70" t="s">
        <v>171</v>
      </c>
      <c r="H151" s="76">
        <f t="shared" si="36"/>
        <v>29.846</v>
      </c>
      <c r="I151" s="260" t="str">
        <f t="shared" si="35"/>
        <v>A3_B1_C2_D2_E2</v>
      </c>
    </row>
    <row r="152" spans="2:13">
      <c r="B152" s="77" t="s">
        <v>21</v>
      </c>
      <c r="C152" s="77" t="s">
        <v>162</v>
      </c>
      <c r="D152" s="77" t="s">
        <v>164</v>
      </c>
      <c r="E152" s="70" t="s">
        <v>166</v>
      </c>
      <c r="F152" s="77" t="s">
        <v>168</v>
      </c>
      <c r="G152" s="70" t="s">
        <v>170</v>
      </c>
      <c r="H152" s="76">
        <f t="shared" si="36"/>
        <v>23.507999999999999</v>
      </c>
      <c r="I152" s="260" t="str">
        <f t="shared" si="35"/>
        <v>A3_B2_C1_D1_E1</v>
      </c>
    </row>
    <row r="153" spans="2:13">
      <c r="B153" s="77" t="s">
        <v>21</v>
      </c>
      <c r="C153" s="77" t="s">
        <v>162</v>
      </c>
      <c r="D153" s="77" t="s">
        <v>164</v>
      </c>
      <c r="E153" s="70" t="s">
        <v>166</v>
      </c>
      <c r="F153" s="77" t="s">
        <v>168</v>
      </c>
      <c r="G153" s="70" t="s">
        <v>171</v>
      </c>
      <c r="H153" s="76">
        <f t="shared" si="36"/>
        <v>20.343</v>
      </c>
      <c r="I153" s="260" t="str">
        <f t="shared" si="35"/>
        <v>A3_B2_C1_D1_E2</v>
      </c>
    </row>
    <row r="154" spans="2:13">
      <c r="B154" s="77" t="s">
        <v>21</v>
      </c>
      <c r="C154" s="77" t="s">
        <v>162</v>
      </c>
      <c r="D154" s="77" t="s">
        <v>164</v>
      </c>
      <c r="E154" s="70" t="s">
        <v>166</v>
      </c>
      <c r="F154" s="77" t="s">
        <v>169</v>
      </c>
      <c r="G154" s="70" t="s">
        <v>170</v>
      </c>
      <c r="H154" s="76">
        <f t="shared" si="36"/>
        <v>25.341999999999999</v>
      </c>
      <c r="I154" s="260" t="str">
        <f t="shared" si="35"/>
        <v>A3_B2_C1_D2_E1</v>
      </c>
    </row>
    <row r="155" spans="2:13">
      <c r="B155" s="77" t="s">
        <v>21</v>
      </c>
      <c r="C155" s="77" t="s">
        <v>162</v>
      </c>
      <c r="D155" s="77" t="s">
        <v>164</v>
      </c>
      <c r="E155" s="70" t="s">
        <v>166</v>
      </c>
      <c r="F155" s="77" t="s">
        <v>169</v>
      </c>
      <c r="G155" s="70" t="s">
        <v>171</v>
      </c>
      <c r="H155" s="76">
        <f t="shared" si="36"/>
        <v>41.923000000000002</v>
      </c>
      <c r="I155" s="260" t="str">
        <f t="shared" si="35"/>
        <v>A3_B2_C1_D2_E2</v>
      </c>
    </row>
    <row r="156" spans="2:13">
      <c r="B156" s="77" t="s">
        <v>21</v>
      </c>
      <c r="C156" s="77" t="s">
        <v>162</v>
      </c>
      <c r="D156" s="77" t="s">
        <v>164</v>
      </c>
      <c r="E156" s="70" t="s">
        <v>167</v>
      </c>
      <c r="F156" s="77" t="s">
        <v>168</v>
      </c>
      <c r="G156" s="70" t="s">
        <v>170</v>
      </c>
      <c r="H156" s="76">
        <f t="shared" si="36"/>
        <v>38.176000000000002</v>
      </c>
      <c r="I156" s="260" t="str">
        <f t="shared" si="35"/>
        <v>A3_B2_C2_D1_E1</v>
      </c>
    </row>
    <row r="157" spans="2:13">
      <c r="B157" s="77" t="s">
        <v>21</v>
      </c>
      <c r="C157" s="77" t="s">
        <v>162</v>
      </c>
      <c r="D157" s="77" t="s">
        <v>164</v>
      </c>
      <c r="E157" s="70" t="s">
        <v>167</v>
      </c>
      <c r="F157" s="77" t="s">
        <v>168</v>
      </c>
      <c r="G157" s="70" t="s">
        <v>171</v>
      </c>
      <c r="H157" s="76">
        <f t="shared" si="36"/>
        <v>44.252000000000002</v>
      </c>
      <c r="I157" s="260" t="str">
        <f t="shared" si="35"/>
        <v>A3_B2_C2_D1_E2</v>
      </c>
    </row>
    <row r="158" spans="2:13">
      <c r="B158" s="77" t="s">
        <v>21</v>
      </c>
      <c r="C158" s="77" t="s">
        <v>162</v>
      </c>
      <c r="D158" s="77" t="s">
        <v>164</v>
      </c>
      <c r="E158" s="70" t="s">
        <v>167</v>
      </c>
      <c r="F158" s="77" t="s">
        <v>169</v>
      </c>
      <c r="G158" s="70" t="s">
        <v>170</v>
      </c>
      <c r="H158" s="76">
        <f t="shared" si="36"/>
        <v>48.067</v>
      </c>
      <c r="I158" s="260" t="str">
        <f t="shared" si="35"/>
        <v>A3_B2_C2_D2_E1</v>
      </c>
    </row>
    <row r="159" spans="2:13">
      <c r="B159" s="77" t="s">
        <v>21</v>
      </c>
      <c r="C159" s="77" t="s">
        <v>162</v>
      </c>
      <c r="D159" s="77" t="s">
        <v>164</v>
      </c>
      <c r="E159" s="70" t="s">
        <v>167</v>
      </c>
      <c r="F159" s="77" t="s">
        <v>169</v>
      </c>
      <c r="G159" s="70" t="s">
        <v>171</v>
      </c>
      <c r="H159" s="76">
        <f t="shared" si="36"/>
        <v>25.847999999999999</v>
      </c>
      <c r="I159" s="260" t="str">
        <f t="shared" si="35"/>
        <v>A3_B2_C2_D2_E2</v>
      </c>
    </row>
    <row r="160" spans="2:13">
      <c r="B160" s="77" t="s">
        <v>21</v>
      </c>
      <c r="C160" s="77" t="s">
        <v>162</v>
      </c>
      <c r="D160" s="77" t="s">
        <v>165</v>
      </c>
      <c r="E160" s="70" t="s">
        <v>166</v>
      </c>
      <c r="F160" s="77" t="s">
        <v>168</v>
      </c>
      <c r="G160" s="70" t="s">
        <v>170</v>
      </c>
      <c r="H160" s="76">
        <f t="shared" ref="H160:H191" si="37">IF(H79="","",H79)</f>
        <v>33.759</v>
      </c>
      <c r="I160" s="260" t="str">
        <f t="shared" ref="I160:I223" si="38">IF(H160="","",CONCATENATE(C160,"_",D160,"_",E160,"_",F160,"_",G160))</f>
        <v>A3_B3_C1_D1_E1</v>
      </c>
    </row>
    <row r="161" spans="2:9">
      <c r="B161" s="77" t="s">
        <v>21</v>
      </c>
      <c r="C161" s="77" t="s">
        <v>162</v>
      </c>
      <c r="D161" s="77" t="s">
        <v>165</v>
      </c>
      <c r="E161" s="70" t="s">
        <v>166</v>
      </c>
      <c r="F161" s="77" t="s">
        <v>168</v>
      </c>
      <c r="G161" s="70" t="s">
        <v>171</v>
      </c>
      <c r="H161" s="76">
        <f t="shared" si="37"/>
        <v>24.477</v>
      </c>
      <c r="I161" s="260" t="str">
        <f t="shared" si="38"/>
        <v>A3_B3_C1_D1_E2</v>
      </c>
    </row>
    <row r="162" spans="2:9">
      <c r="B162" s="77" t="s">
        <v>21</v>
      </c>
      <c r="C162" s="77" t="s">
        <v>162</v>
      </c>
      <c r="D162" s="77" t="s">
        <v>165</v>
      </c>
      <c r="E162" s="70" t="s">
        <v>166</v>
      </c>
      <c r="F162" s="77" t="s">
        <v>169</v>
      </c>
      <c r="G162" s="70" t="s">
        <v>170</v>
      </c>
      <c r="H162" s="76">
        <f t="shared" si="37"/>
        <v>29.343</v>
      </c>
      <c r="I162" s="260" t="str">
        <f t="shared" si="38"/>
        <v>A3_B3_C1_D2_E1</v>
      </c>
    </row>
    <row r="163" spans="2:9">
      <c r="B163" s="77" t="s">
        <v>21</v>
      </c>
      <c r="C163" s="77" t="s">
        <v>162</v>
      </c>
      <c r="D163" s="77" t="s">
        <v>165</v>
      </c>
      <c r="E163" s="70" t="s">
        <v>166</v>
      </c>
      <c r="F163" s="77" t="s">
        <v>169</v>
      </c>
      <c r="G163" s="70" t="s">
        <v>171</v>
      </c>
      <c r="H163" s="76">
        <f t="shared" si="37"/>
        <v>37.552999999999997</v>
      </c>
      <c r="I163" s="260" t="str">
        <f t="shared" si="38"/>
        <v>A3_B3_C1_D2_E2</v>
      </c>
    </row>
    <row r="164" spans="2:9">
      <c r="B164" s="77" t="s">
        <v>21</v>
      </c>
      <c r="C164" s="77" t="s">
        <v>162</v>
      </c>
      <c r="D164" s="77" t="s">
        <v>165</v>
      </c>
      <c r="E164" s="70" t="s">
        <v>167</v>
      </c>
      <c r="F164" s="77" t="s">
        <v>168</v>
      </c>
      <c r="G164" s="70" t="s">
        <v>170</v>
      </c>
      <c r="H164" s="76">
        <f t="shared" si="37"/>
        <v>37.881999999999998</v>
      </c>
      <c r="I164" s="260" t="str">
        <f t="shared" si="38"/>
        <v>A3_B3_C2_D1_E1</v>
      </c>
    </row>
    <row r="165" spans="2:9">
      <c r="B165" s="77" t="s">
        <v>21</v>
      </c>
      <c r="C165" s="77" t="s">
        <v>162</v>
      </c>
      <c r="D165" s="77" t="s">
        <v>165</v>
      </c>
      <c r="E165" s="70" t="s">
        <v>167</v>
      </c>
      <c r="F165" s="77" t="s">
        <v>168</v>
      </c>
      <c r="G165" s="70" t="s">
        <v>171</v>
      </c>
      <c r="H165" s="76">
        <f t="shared" si="37"/>
        <v>26.87</v>
      </c>
      <c r="I165" s="260" t="str">
        <f t="shared" si="38"/>
        <v>A3_B3_C2_D1_E2</v>
      </c>
    </row>
    <row r="166" spans="2:9">
      <c r="B166" s="77" t="s">
        <v>21</v>
      </c>
      <c r="C166" s="77" t="s">
        <v>162</v>
      </c>
      <c r="D166" s="77" t="s">
        <v>165</v>
      </c>
      <c r="E166" s="70" t="s">
        <v>167</v>
      </c>
      <c r="F166" s="77" t="s">
        <v>169</v>
      </c>
      <c r="G166" s="70" t="s">
        <v>170</v>
      </c>
      <c r="H166" s="76">
        <f t="shared" si="37"/>
        <v>30.437000000000001</v>
      </c>
      <c r="I166" s="260" t="str">
        <f t="shared" si="38"/>
        <v>A3_B3_C2_D2_E1</v>
      </c>
    </row>
    <row r="167" spans="2:9">
      <c r="B167" s="81" t="s">
        <v>21</v>
      </c>
      <c r="C167" s="81" t="s">
        <v>162</v>
      </c>
      <c r="D167" s="81" t="s">
        <v>165</v>
      </c>
      <c r="E167" s="72" t="s">
        <v>167</v>
      </c>
      <c r="F167" s="81" t="s">
        <v>169</v>
      </c>
      <c r="G167" s="72" t="s">
        <v>171</v>
      </c>
      <c r="H167" s="118">
        <f t="shared" si="37"/>
        <v>31.768000000000001</v>
      </c>
      <c r="I167" s="262" t="str">
        <f t="shared" si="38"/>
        <v>A3_B3_C2_D2_E2</v>
      </c>
    </row>
    <row r="168" spans="2:9">
      <c r="B168" s="75" t="s">
        <v>22</v>
      </c>
      <c r="C168" s="76" t="s">
        <v>160</v>
      </c>
      <c r="D168" s="76" t="s">
        <v>163</v>
      </c>
      <c r="E168" s="65" t="s">
        <v>166</v>
      </c>
      <c r="F168" s="76" t="s">
        <v>168</v>
      </c>
      <c r="G168" s="66" t="s">
        <v>170</v>
      </c>
      <c r="H168" s="76" t="str">
        <f t="shared" ref="H168:H199" si="39">IF(I15="","",I15)</f>
        <v/>
      </c>
      <c r="I168" s="261" t="str">
        <f t="shared" si="38"/>
        <v/>
      </c>
    </row>
    <row r="169" spans="2:9">
      <c r="B169" s="76" t="s">
        <v>22</v>
      </c>
      <c r="C169" s="76" t="s">
        <v>160</v>
      </c>
      <c r="D169" s="76" t="s">
        <v>163</v>
      </c>
      <c r="E169" s="65" t="s">
        <v>166</v>
      </c>
      <c r="F169" s="76" t="s">
        <v>168</v>
      </c>
      <c r="G169" s="66" t="s">
        <v>171</v>
      </c>
      <c r="H169" s="76" t="str">
        <f t="shared" si="39"/>
        <v/>
      </c>
      <c r="I169" s="260" t="str">
        <f t="shared" si="38"/>
        <v/>
      </c>
    </row>
    <row r="170" spans="2:9">
      <c r="B170" s="76" t="s">
        <v>22</v>
      </c>
      <c r="C170" s="76" t="s">
        <v>160</v>
      </c>
      <c r="D170" s="76" t="s">
        <v>163</v>
      </c>
      <c r="E170" s="65" t="s">
        <v>166</v>
      </c>
      <c r="F170" s="76" t="s">
        <v>169</v>
      </c>
      <c r="G170" s="66" t="s">
        <v>170</v>
      </c>
      <c r="H170" s="76" t="str">
        <f t="shared" si="39"/>
        <v/>
      </c>
      <c r="I170" s="260" t="str">
        <f t="shared" si="38"/>
        <v/>
      </c>
    </row>
    <row r="171" spans="2:9">
      <c r="B171" s="76" t="s">
        <v>22</v>
      </c>
      <c r="C171" s="76" t="s">
        <v>160</v>
      </c>
      <c r="D171" s="76" t="s">
        <v>163</v>
      </c>
      <c r="E171" s="65" t="s">
        <v>166</v>
      </c>
      <c r="F171" s="76" t="s">
        <v>169</v>
      </c>
      <c r="G171" s="66" t="s">
        <v>171</v>
      </c>
      <c r="H171" s="76" t="str">
        <f t="shared" si="39"/>
        <v/>
      </c>
      <c r="I171" s="260" t="str">
        <f t="shared" si="38"/>
        <v/>
      </c>
    </row>
    <row r="172" spans="2:9">
      <c r="B172" s="76" t="s">
        <v>22</v>
      </c>
      <c r="C172" s="76" t="s">
        <v>160</v>
      </c>
      <c r="D172" s="76" t="s">
        <v>163</v>
      </c>
      <c r="E172" s="65" t="s">
        <v>167</v>
      </c>
      <c r="F172" s="76" t="s">
        <v>168</v>
      </c>
      <c r="G172" s="66" t="s">
        <v>170</v>
      </c>
      <c r="H172" s="76" t="str">
        <f t="shared" si="39"/>
        <v/>
      </c>
      <c r="I172" s="260" t="str">
        <f t="shared" si="38"/>
        <v/>
      </c>
    </row>
    <row r="173" spans="2:9">
      <c r="B173" s="76" t="s">
        <v>22</v>
      </c>
      <c r="C173" s="76" t="s">
        <v>160</v>
      </c>
      <c r="D173" s="76" t="s">
        <v>163</v>
      </c>
      <c r="E173" s="65" t="s">
        <v>167</v>
      </c>
      <c r="F173" s="76" t="s">
        <v>168</v>
      </c>
      <c r="G173" s="66" t="s">
        <v>171</v>
      </c>
      <c r="H173" s="76" t="str">
        <f t="shared" si="39"/>
        <v/>
      </c>
      <c r="I173" s="260" t="str">
        <f t="shared" si="38"/>
        <v/>
      </c>
    </row>
    <row r="174" spans="2:9">
      <c r="B174" s="76" t="s">
        <v>22</v>
      </c>
      <c r="C174" s="76" t="s">
        <v>160</v>
      </c>
      <c r="D174" s="76" t="s">
        <v>163</v>
      </c>
      <c r="E174" s="65" t="s">
        <v>167</v>
      </c>
      <c r="F174" s="76" t="s">
        <v>169</v>
      </c>
      <c r="G174" s="66" t="s">
        <v>170</v>
      </c>
      <c r="H174" s="76" t="str">
        <f t="shared" si="39"/>
        <v/>
      </c>
      <c r="I174" s="260" t="str">
        <f t="shared" si="38"/>
        <v/>
      </c>
    </row>
    <row r="175" spans="2:9">
      <c r="B175" s="76" t="s">
        <v>22</v>
      </c>
      <c r="C175" s="76" t="s">
        <v>160</v>
      </c>
      <c r="D175" s="76" t="s">
        <v>163</v>
      </c>
      <c r="E175" s="65" t="s">
        <v>167</v>
      </c>
      <c r="F175" s="76" t="s">
        <v>169</v>
      </c>
      <c r="G175" s="66" t="s">
        <v>171</v>
      </c>
      <c r="H175" s="76" t="str">
        <f t="shared" si="39"/>
        <v/>
      </c>
      <c r="I175" s="260" t="str">
        <f t="shared" si="38"/>
        <v/>
      </c>
    </row>
    <row r="176" spans="2:9">
      <c r="B176" s="76" t="s">
        <v>22</v>
      </c>
      <c r="C176" s="76" t="s">
        <v>160</v>
      </c>
      <c r="D176" s="76" t="s">
        <v>164</v>
      </c>
      <c r="E176" s="65" t="s">
        <v>166</v>
      </c>
      <c r="F176" s="76" t="s">
        <v>168</v>
      </c>
      <c r="G176" s="66" t="s">
        <v>170</v>
      </c>
      <c r="H176" s="76" t="str">
        <f t="shared" si="39"/>
        <v/>
      </c>
      <c r="I176" s="260" t="str">
        <f t="shared" si="38"/>
        <v/>
      </c>
    </row>
    <row r="177" spans="2:9">
      <c r="B177" s="76" t="s">
        <v>22</v>
      </c>
      <c r="C177" s="76" t="s">
        <v>160</v>
      </c>
      <c r="D177" s="76" t="s">
        <v>164</v>
      </c>
      <c r="E177" s="65" t="s">
        <v>166</v>
      </c>
      <c r="F177" s="76" t="s">
        <v>168</v>
      </c>
      <c r="G177" s="66" t="s">
        <v>171</v>
      </c>
      <c r="H177" s="76" t="str">
        <f t="shared" si="39"/>
        <v/>
      </c>
      <c r="I177" s="260" t="str">
        <f t="shared" si="38"/>
        <v/>
      </c>
    </row>
    <row r="178" spans="2:9">
      <c r="B178" s="76" t="s">
        <v>22</v>
      </c>
      <c r="C178" s="76" t="s">
        <v>160</v>
      </c>
      <c r="D178" s="76" t="s">
        <v>164</v>
      </c>
      <c r="E178" s="65" t="s">
        <v>166</v>
      </c>
      <c r="F178" s="76" t="s">
        <v>169</v>
      </c>
      <c r="G178" s="66" t="s">
        <v>170</v>
      </c>
      <c r="H178" s="76" t="str">
        <f t="shared" si="39"/>
        <v/>
      </c>
      <c r="I178" s="260" t="str">
        <f t="shared" si="38"/>
        <v/>
      </c>
    </row>
    <row r="179" spans="2:9">
      <c r="B179" s="76" t="s">
        <v>22</v>
      </c>
      <c r="C179" s="76" t="s">
        <v>160</v>
      </c>
      <c r="D179" s="76" t="s">
        <v>164</v>
      </c>
      <c r="E179" s="65" t="s">
        <v>166</v>
      </c>
      <c r="F179" s="76" t="s">
        <v>169</v>
      </c>
      <c r="G179" s="66" t="s">
        <v>171</v>
      </c>
      <c r="H179" s="76" t="str">
        <f t="shared" si="39"/>
        <v/>
      </c>
      <c r="I179" s="260" t="str">
        <f t="shared" si="38"/>
        <v/>
      </c>
    </row>
    <row r="180" spans="2:9">
      <c r="B180" s="76" t="s">
        <v>22</v>
      </c>
      <c r="C180" s="76" t="s">
        <v>160</v>
      </c>
      <c r="D180" s="76" t="s">
        <v>164</v>
      </c>
      <c r="E180" s="65" t="s">
        <v>167</v>
      </c>
      <c r="F180" s="76" t="s">
        <v>168</v>
      </c>
      <c r="G180" s="66" t="s">
        <v>170</v>
      </c>
      <c r="H180" s="76" t="str">
        <f t="shared" si="39"/>
        <v/>
      </c>
      <c r="I180" s="260" t="str">
        <f t="shared" si="38"/>
        <v/>
      </c>
    </row>
    <row r="181" spans="2:9">
      <c r="B181" s="76" t="s">
        <v>22</v>
      </c>
      <c r="C181" s="76" t="s">
        <v>160</v>
      </c>
      <c r="D181" s="76" t="s">
        <v>164</v>
      </c>
      <c r="E181" s="65" t="s">
        <v>167</v>
      </c>
      <c r="F181" s="76" t="s">
        <v>168</v>
      </c>
      <c r="G181" s="66" t="s">
        <v>171</v>
      </c>
      <c r="H181" s="76" t="str">
        <f t="shared" si="39"/>
        <v/>
      </c>
      <c r="I181" s="260" t="str">
        <f t="shared" si="38"/>
        <v/>
      </c>
    </row>
    <row r="182" spans="2:9">
      <c r="B182" s="76" t="s">
        <v>22</v>
      </c>
      <c r="C182" s="76" t="s">
        <v>160</v>
      </c>
      <c r="D182" s="76" t="s">
        <v>164</v>
      </c>
      <c r="E182" s="65" t="s">
        <v>167</v>
      </c>
      <c r="F182" s="76" t="s">
        <v>169</v>
      </c>
      <c r="G182" s="66" t="s">
        <v>170</v>
      </c>
      <c r="H182" s="76" t="str">
        <f t="shared" si="39"/>
        <v/>
      </c>
      <c r="I182" s="260" t="str">
        <f t="shared" si="38"/>
        <v/>
      </c>
    </row>
    <row r="183" spans="2:9">
      <c r="B183" s="76" t="s">
        <v>22</v>
      </c>
      <c r="C183" s="76" t="s">
        <v>160</v>
      </c>
      <c r="D183" s="76" t="s">
        <v>164</v>
      </c>
      <c r="E183" s="65" t="s">
        <v>167</v>
      </c>
      <c r="F183" s="76" t="s">
        <v>169</v>
      </c>
      <c r="G183" s="66" t="s">
        <v>171</v>
      </c>
      <c r="H183" s="76" t="str">
        <f t="shared" si="39"/>
        <v/>
      </c>
      <c r="I183" s="260" t="str">
        <f t="shared" si="38"/>
        <v/>
      </c>
    </row>
    <row r="184" spans="2:9">
      <c r="B184" s="76" t="s">
        <v>22</v>
      </c>
      <c r="C184" s="76" t="s">
        <v>160</v>
      </c>
      <c r="D184" s="76" t="s">
        <v>165</v>
      </c>
      <c r="E184" s="65" t="s">
        <v>166</v>
      </c>
      <c r="F184" s="76" t="s">
        <v>168</v>
      </c>
      <c r="G184" s="66" t="s">
        <v>170</v>
      </c>
      <c r="H184" s="76" t="str">
        <f t="shared" si="39"/>
        <v/>
      </c>
      <c r="I184" s="260" t="str">
        <f t="shared" si="38"/>
        <v/>
      </c>
    </row>
    <row r="185" spans="2:9">
      <c r="B185" s="76" t="s">
        <v>22</v>
      </c>
      <c r="C185" s="76" t="s">
        <v>160</v>
      </c>
      <c r="D185" s="76" t="s">
        <v>165</v>
      </c>
      <c r="E185" s="65" t="s">
        <v>166</v>
      </c>
      <c r="F185" s="76" t="s">
        <v>168</v>
      </c>
      <c r="G185" s="65" t="s">
        <v>171</v>
      </c>
      <c r="H185" s="76" t="str">
        <f t="shared" si="39"/>
        <v/>
      </c>
      <c r="I185" s="260" t="str">
        <f t="shared" si="38"/>
        <v/>
      </c>
    </row>
    <row r="186" spans="2:9">
      <c r="B186" s="76" t="s">
        <v>22</v>
      </c>
      <c r="C186" s="76" t="s">
        <v>160</v>
      </c>
      <c r="D186" s="76" t="s">
        <v>165</v>
      </c>
      <c r="E186" s="65" t="s">
        <v>166</v>
      </c>
      <c r="F186" s="77" t="s">
        <v>169</v>
      </c>
      <c r="G186" s="65" t="s">
        <v>170</v>
      </c>
      <c r="H186" s="76" t="str">
        <f t="shared" si="39"/>
        <v/>
      </c>
      <c r="I186" s="260" t="str">
        <f t="shared" si="38"/>
        <v/>
      </c>
    </row>
    <row r="187" spans="2:9">
      <c r="B187" s="76" t="s">
        <v>22</v>
      </c>
      <c r="C187" s="76" t="s">
        <v>160</v>
      </c>
      <c r="D187" s="76" t="s">
        <v>165</v>
      </c>
      <c r="E187" s="65" t="s">
        <v>166</v>
      </c>
      <c r="F187" s="77" t="s">
        <v>169</v>
      </c>
      <c r="G187" s="65" t="s">
        <v>171</v>
      </c>
      <c r="H187" s="76" t="str">
        <f t="shared" si="39"/>
        <v/>
      </c>
      <c r="I187" s="260" t="str">
        <f t="shared" si="38"/>
        <v/>
      </c>
    </row>
    <row r="188" spans="2:9">
      <c r="B188" s="76" t="s">
        <v>22</v>
      </c>
      <c r="C188" s="76" t="s">
        <v>160</v>
      </c>
      <c r="D188" s="76" t="s">
        <v>165</v>
      </c>
      <c r="E188" s="65" t="s">
        <v>167</v>
      </c>
      <c r="F188" s="77" t="s">
        <v>168</v>
      </c>
      <c r="G188" s="65" t="s">
        <v>170</v>
      </c>
      <c r="H188" s="76" t="str">
        <f t="shared" si="39"/>
        <v/>
      </c>
      <c r="I188" s="260" t="str">
        <f t="shared" si="38"/>
        <v/>
      </c>
    </row>
    <row r="189" spans="2:9">
      <c r="B189" s="76" t="s">
        <v>22</v>
      </c>
      <c r="C189" s="76" t="s">
        <v>160</v>
      </c>
      <c r="D189" s="76" t="s">
        <v>165</v>
      </c>
      <c r="E189" s="65" t="s">
        <v>167</v>
      </c>
      <c r="F189" s="77" t="s">
        <v>168</v>
      </c>
      <c r="G189" s="65" t="s">
        <v>171</v>
      </c>
      <c r="H189" s="76" t="str">
        <f t="shared" si="39"/>
        <v/>
      </c>
      <c r="I189" s="260" t="str">
        <f t="shared" si="38"/>
        <v/>
      </c>
    </row>
    <row r="190" spans="2:9">
      <c r="B190" s="76" t="s">
        <v>22</v>
      </c>
      <c r="C190" s="76" t="s">
        <v>160</v>
      </c>
      <c r="D190" s="76" t="s">
        <v>165</v>
      </c>
      <c r="E190" s="65" t="s">
        <v>167</v>
      </c>
      <c r="F190" s="77" t="s">
        <v>169</v>
      </c>
      <c r="G190" s="65" t="s">
        <v>170</v>
      </c>
      <c r="H190" s="76" t="str">
        <f t="shared" si="39"/>
        <v/>
      </c>
      <c r="I190" s="260" t="str">
        <f t="shared" si="38"/>
        <v/>
      </c>
    </row>
    <row r="191" spans="2:9">
      <c r="B191" s="76" t="s">
        <v>22</v>
      </c>
      <c r="C191" s="76" t="s">
        <v>160</v>
      </c>
      <c r="D191" s="76" t="s">
        <v>165</v>
      </c>
      <c r="E191" s="65" t="s">
        <v>167</v>
      </c>
      <c r="F191" s="77" t="s">
        <v>169</v>
      </c>
      <c r="G191" s="65" t="s">
        <v>171</v>
      </c>
      <c r="H191" s="76" t="str">
        <f t="shared" si="39"/>
        <v/>
      </c>
      <c r="I191" s="260" t="str">
        <f t="shared" si="38"/>
        <v/>
      </c>
    </row>
    <row r="192" spans="2:9">
      <c r="B192" s="76" t="s">
        <v>22</v>
      </c>
      <c r="C192" s="76" t="s">
        <v>161</v>
      </c>
      <c r="D192" s="76" t="s">
        <v>163</v>
      </c>
      <c r="E192" s="65" t="s">
        <v>166</v>
      </c>
      <c r="F192" s="77" t="s">
        <v>168</v>
      </c>
      <c r="G192" s="65" t="s">
        <v>170</v>
      </c>
      <c r="H192" s="76" t="str">
        <f t="shared" si="39"/>
        <v/>
      </c>
      <c r="I192" s="260" t="str">
        <f t="shared" si="38"/>
        <v/>
      </c>
    </row>
    <row r="193" spans="2:9">
      <c r="B193" s="76" t="s">
        <v>22</v>
      </c>
      <c r="C193" s="76" t="s">
        <v>161</v>
      </c>
      <c r="D193" s="76" t="s">
        <v>163</v>
      </c>
      <c r="E193" s="65" t="s">
        <v>166</v>
      </c>
      <c r="F193" s="77" t="s">
        <v>168</v>
      </c>
      <c r="G193" s="65" t="s">
        <v>171</v>
      </c>
      <c r="H193" s="76" t="str">
        <f t="shared" si="39"/>
        <v/>
      </c>
      <c r="I193" s="260" t="str">
        <f t="shared" si="38"/>
        <v/>
      </c>
    </row>
    <row r="194" spans="2:9">
      <c r="B194" s="76" t="s">
        <v>22</v>
      </c>
      <c r="C194" s="76" t="s">
        <v>161</v>
      </c>
      <c r="D194" s="77" t="s">
        <v>163</v>
      </c>
      <c r="E194" s="65" t="s">
        <v>166</v>
      </c>
      <c r="F194" s="77" t="s">
        <v>169</v>
      </c>
      <c r="G194" s="65" t="s">
        <v>170</v>
      </c>
      <c r="H194" s="76" t="str">
        <f t="shared" si="39"/>
        <v/>
      </c>
      <c r="I194" s="260" t="str">
        <f t="shared" si="38"/>
        <v/>
      </c>
    </row>
    <row r="195" spans="2:9">
      <c r="B195" s="77" t="s">
        <v>22</v>
      </c>
      <c r="C195" s="77" t="s">
        <v>161</v>
      </c>
      <c r="D195" s="77" t="s">
        <v>163</v>
      </c>
      <c r="E195" s="65" t="s">
        <v>166</v>
      </c>
      <c r="F195" s="77" t="s">
        <v>169</v>
      </c>
      <c r="G195" s="65" t="s">
        <v>171</v>
      </c>
      <c r="H195" s="76" t="str">
        <f t="shared" si="39"/>
        <v/>
      </c>
      <c r="I195" s="260" t="str">
        <f t="shared" si="38"/>
        <v/>
      </c>
    </row>
    <row r="196" spans="2:9">
      <c r="B196" s="77" t="s">
        <v>22</v>
      </c>
      <c r="C196" s="77" t="s">
        <v>161</v>
      </c>
      <c r="D196" s="77" t="s">
        <v>163</v>
      </c>
      <c r="E196" s="65" t="s">
        <v>167</v>
      </c>
      <c r="F196" s="77" t="s">
        <v>168</v>
      </c>
      <c r="G196" s="65" t="s">
        <v>170</v>
      </c>
      <c r="H196" s="76" t="str">
        <f t="shared" si="39"/>
        <v/>
      </c>
      <c r="I196" s="260" t="str">
        <f t="shared" si="38"/>
        <v/>
      </c>
    </row>
    <row r="197" spans="2:9">
      <c r="B197" s="78" t="s">
        <v>22</v>
      </c>
      <c r="C197" s="78" t="s">
        <v>161</v>
      </c>
      <c r="D197" s="78" t="s">
        <v>163</v>
      </c>
      <c r="E197" s="71" t="s">
        <v>167</v>
      </c>
      <c r="F197" s="78" t="s">
        <v>168</v>
      </c>
      <c r="G197" s="71" t="s">
        <v>171</v>
      </c>
      <c r="H197" s="164" t="str">
        <f t="shared" si="39"/>
        <v/>
      </c>
      <c r="I197" s="260" t="str">
        <f t="shared" si="38"/>
        <v/>
      </c>
    </row>
    <row r="198" spans="2:9">
      <c r="B198" s="76" t="s">
        <v>22</v>
      </c>
      <c r="C198" s="76" t="s">
        <v>161</v>
      </c>
      <c r="D198" s="82" t="s">
        <v>163</v>
      </c>
      <c r="E198" s="68" t="s">
        <v>167</v>
      </c>
      <c r="F198" s="79" t="s">
        <v>169</v>
      </c>
      <c r="G198" s="69" t="s">
        <v>170</v>
      </c>
      <c r="H198" s="76" t="str">
        <f t="shared" si="39"/>
        <v/>
      </c>
      <c r="I198" s="260" t="str">
        <f t="shared" si="38"/>
        <v/>
      </c>
    </row>
    <row r="199" spans="2:9">
      <c r="B199" s="76" t="s">
        <v>22</v>
      </c>
      <c r="C199" s="76" t="s">
        <v>161</v>
      </c>
      <c r="D199" s="82" t="s">
        <v>163</v>
      </c>
      <c r="E199" s="68" t="s">
        <v>167</v>
      </c>
      <c r="F199" s="79" t="s">
        <v>169</v>
      </c>
      <c r="G199" s="69" t="s">
        <v>171</v>
      </c>
      <c r="H199" s="76" t="str">
        <f t="shared" si="39"/>
        <v/>
      </c>
      <c r="I199" s="260" t="str">
        <f t="shared" si="38"/>
        <v/>
      </c>
    </row>
    <row r="200" spans="2:9">
      <c r="B200" s="76" t="s">
        <v>22</v>
      </c>
      <c r="C200" s="76" t="s">
        <v>161</v>
      </c>
      <c r="D200" s="82" t="s">
        <v>164</v>
      </c>
      <c r="E200" s="68" t="s">
        <v>166</v>
      </c>
      <c r="F200" s="79" t="s">
        <v>168</v>
      </c>
      <c r="G200" s="69" t="s">
        <v>170</v>
      </c>
      <c r="H200" s="76" t="str">
        <f t="shared" ref="H200:H231" si="40">IF(I47="","",I47)</f>
        <v/>
      </c>
      <c r="I200" s="260" t="str">
        <f t="shared" si="38"/>
        <v/>
      </c>
    </row>
    <row r="201" spans="2:9">
      <c r="B201" s="76" t="s">
        <v>22</v>
      </c>
      <c r="C201" s="76" t="s">
        <v>161</v>
      </c>
      <c r="D201" s="82" t="s">
        <v>164</v>
      </c>
      <c r="E201" s="68" t="s">
        <v>166</v>
      </c>
      <c r="F201" s="79" t="s">
        <v>168</v>
      </c>
      <c r="G201" s="69" t="s">
        <v>171</v>
      </c>
      <c r="H201" s="76" t="str">
        <f t="shared" si="40"/>
        <v/>
      </c>
      <c r="I201" s="260" t="str">
        <f t="shared" si="38"/>
        <v/>
      </c>
    </row>
    <row r="202" spans="2:9">
      <c r="B202" s="76" t="s">
        <v>22</v>
      </c>
      <c r="C202" s="76" t="s">
        <v>161</v>
      </c>
      <c r="D202" s="82" t="s">
        <v>164</v>
      </c>
      <c r="E202" s="68" t="s">
        <v>166</v>
      </c>
      <c r="F202" s="79" t="s">
        <v>169</v>
      </c>
      <c r="G202" s="69" t="s">
        <v>170</v>
      </c>
      <c r="H202" s="76" t="str">
        <f t="shared" si="40"/>
        <v/>
      </c>
      <c r="I202" s="260" t="str">
        <f t="shared" si="38"/>
        <v/>
      </c>
    </row>
    <row r="203" spans="2:9">
      <c r="B203" s="84" t="s">
        <v>22</v>
      </c>
      <c r="C203" s="84" t="s">
        <v>161</v>
      </c>
      <c r="D203" s="83" t="s">
        <v>164</v>
      </c>
      <c r="E203" s="73" t="s">
        <v>166</v>
      </c>
      <c r="F203" s="80" t="s">
        <v>169</v>
      </c>
      <c r="G203" s="74" t="s">
        <v>171</v>
      </c>
      <c r="H203" s="84" t="str">
        <f t="shared" si="40"/>
        <v/>
      </c>
      <c r="I203" s="260" t="str">
        <f t="shared" si="38"/>
        <v/>
      </c>
    </row>
    <row r="204" spans="2:9">
      <c r="B204" s="84" t="s">
        <v>22</v>
      </c>
      <c r="C204" s="84" t="s">
        <v>161</v>
      </c>
      <c r="D204" s="83" t="s">
        <v>164</v>
      </c>
      <c r="E204" s="73" t="s">
        <v>167</v>
      </c>
      <c r="F204" s="80" t="s">
        <v>168</v>
      </c>
      <c r="G204" s="74" t="s">
        <v>170</v>
      </c>
      <c r="H204" s="84" t="str">
        <f t="shared" si="40"/>
        <v/>
      </c>
      <c r="I204" s="260" t="str">
        <f t="shared" si="38"/>
        <v/>
      </c>
    </row>
    <row r="205" spans="2:9">
      <c r="B205" s="84" t="s">
        <v>22</v>
      </c>
      <c r="C205" s="84" t="s">
        <v>161</v>
      </c>
      <c r="D205" s="83" t="s">
        <v>164</v>
      </c>
      <c r="E205" s="73" t="s">
        <v>167</v>
      </c>
      <c r="F205" s="80" t="s">
        <v>168</v>
      </c>
      <c r="G205" s="74" t="s">
        <v>171</v>
      </c>
      <c r="H205" s="84" t="str">
        <f t="shared" si="40"/>
        <v/>
      </c>
      <c r="I205" s="260" t="str">
        <f t="shared" si="38"/>
        <v/>
      </c>
    </row>
    <row r="206" spans="2:9">
      <c r="B206" s="84" t="s">
        <v>22</v>
      </c>
      <c r="C206" s="84" t="s">
        <v>161</v>
      </c>
      <c r="D206" s="83" t="s">
        <v>164</v>
      </c>
      <c r="E206" s="73" t="s">
        <v>167</v>
      </c>
      <c r="F206" s="80" t="s">
        <v>169</v>
      </c>
      <c r="G206" s="74" t="s">
        <v>170</v>
      </c>
      <c r="H206" s="84" t="str">
        <f t="shared" si="40"/>
        <v/>
      </c>
      <c r="I206" s="260" t="str">
        <f t="shared" si="38"/>
        <v/>
      </c>
    </row>
    <row r="207" spans="2:9">
      <c r="B207" s="84" t="s">
        <v>22</v>
      </c>
      <c r="C207" s="84" t="s">
        <v>161</v>
      </c>
      <c r="D207" s="83" t="s">
        <v>164</v>
      </c>
      <c r="E207" s="73" t="s">
        <v>167</v>
      </c>
      <c r="F207" s="80" t="s">
        <v>169</v>
      </c>
      <c r="G207" s="74" t="s">
        <v>171</v>
      </c>
      <c r="H207" s="84" t="str">
        <f t="shared" si="40"/>
        <v/>
      </c>
      <c r="I207" s="260" t="str">
        <f t="shared" si="38"/>
        <v/>
      </c>
    </row>
    <row r="208" spans="2:9">
      <c r="B208" s="84" t="s">
        <v>22</v>
      </c>
      <c r="C208" s="84" t="s">
        <v>161</v>
      </c>
      <c r="D208" s="83" t="s">
        <v>165</v>
      </c>
      <c r="E208" s="73" t="s">
        <v>166</v>
      </c>
      <c r="F208" s="80" t="s">
        <v>168</v>
      </c>
      <c r="G208" s="74" t="s">
        <v>170</v>
      </c>
      <c r="H208" s="84" t="str">
        <f t="shared" si="40"/>
        <v/>
      </c>
      <c r="I208" s="260" t="str">
        <f t="shared" si="38"/>
        <v/>
      </c>
    </row>
    <row r="209" spans="2:9">
      <c r="B209" s="84" t="s">
        <v>22</v>
      </c>
      <c r="C209" s="84" t="s">
        <v>161</v>
      </c>
      <c r="D209" s="83" t="s">
        <v>165</v>
      </c>
      <c r="E209" s="73" t="s">
        <v>166</v>
      </c>
      <c r="F209" s="80" t="s">
        <v>168</v>
      </c>
      <c r="G209" s="74" t="s">
        <v>171</v>
      </c>
      <c r="H209" s="84" t="str">
        <f t="shared" si="40"/>
        <v/>
      </c>
      <c r="I209" s="260" t="str">
        <f t="shared" si="38"/>
        <v/>
      </c>
    </row>
    <row r="210" spans="2:9">
      <c r="B210" s="84" t="s">
        <v>22</v>
      </c>
      <c r="C210" s="84" t="s">
        <v>161</v>
      </c>
      <c r="D210" s="83" t="s">
        <v>165</v>
      </c>
      <c r="E210" s="73" t="s">
        <v>166</v>
      </c>
      <c r="F210" s="80" t="s">
        <v>169</v>
      </c>
      <c r="G210" s="74" t="s">
        <v>170</v>
      </c>
      <c r="H210" s="84" t="str">
        <f t="shared" si="40"/>
        <v/>
      </c>
      <c r="I210" s="260" t="str">
        <f t="shared" si="38"/>
        <v/>
      </c>
    </row>
    <row r="211" spans="2:9">
      <c r="B211" s="84" t="s">
        <v>22</v>
      </c>
      <c r="C211" s="84" t="s">
        <v>161</v>
      </c>
      <c r="D211" s="83" t="s">
        <v>165</v>
      </c>
      <c r="E211" s="73" t="s">
        <v>166</v>
      </c>
      <c r="F211" s="80" t="s">
        <v>169</v>
      </c>
      <c r="G211" s="74" t="s">
        <v>171</v>
      </c>
      <c r="H211" s="84" t="str">
        <f t="shared" si="40"/>
        <v/>
      </c>
      <c r="I211" s="260" t="str">
        <f t="shared" si="38"/>
        <v/>
      </c>
    </row>
    <row r="212" spans="2:9">
      <c r="B212" s="84" t="s">
        <v>22</v>
      </c>
      <c r="C212" s="84" t="s">
        <v>161</v>
      </c>
      <c r="D212" s="83" t="s">
        <v>165</v>
      </c>
      <c r="E212" s="73" t="s">
        <v>167</v>
      </c>
      <c r="F212" s="80" t="s">
        <v>168</v>
      </c>
      <c r="G212" s="74" t="s">
        <v>170</v>
      </c>
      <c r="H212" s="84" t="str">
        <f t="shared" si="40"/>
        <v/>
      </c>
      <c r="I212" s="260" t="str">
        <f t="shared" si="38"/>
        <v/>
      </c>
    </row>
    <row r="213" spans="2:9">
      <c r="B213" s="76" t="s">
        <v>22</v>
      </c>
      <c r="C213" s="76" t="s">
        <v>161</v>
      </c>
      <c r="D213" s="82" t="s">
        <v>165</v>
      </c>
      <c r="E213" s="68" t="s">
        <v>167</v>
      </c>
      <c r="F213" s="77" t="s">
        <v>168</v>
      </c>
      <c r="G213" s="65" t="s">
        <v>171</v>
      </c>
      <c r="H213" s="76" t="str">
        <f t="shared" si="40"/>
        <v/>
      </c>
      <c r="I213" s="260" t="str">
        <f t="shared" si="38"/>
        <v/>
      </c>
    </row>
    <row r="214" spans="2:9">
      <c r="B214" s="76" t="s">
        <v>22</v>
      </c>
      <c r="C214" s="76" t="s">
        <v>161</v>
      </c>
      <c r="D214" s="82" t="s">
        <v>165</v>
      </c>
      <c r="E214" s="68" t="s">
        <v>167</v>
      </c>
      <c r="F214" s="77" t="s">
        <v>169</v>
      </c>
      <c r="G214" s="65" t="s">
        <v>170</v>
      </c>
      <c r="H214" s="76" t="str">
        <f t="shared" si="40"/>
        <v/>
      </c>
      <c r="I214" s="260" t="str">
        <f t="shared" si="38"/>
        <v/>
      </c>
    </row>
    <row r="215" spans="2:9">
      <c r="B215" s="77" t="s">
        <v>22</v>
      </c>
      <c r="C215" s="77" t="s">
        <v>161</v>
      </c>
      <c r="D215" s="77" t="s">
        <v>165</v>
      </c>
      <c r="E215" s="65" t="s">
        <v>167</v>
      </c>
      <c r="F215" s="77" t="s">
        <v>169</v>
      </c>
      <c r="G215" s="65" t="s">
        <v>171</v>
      </c>
      <c r="H215" s="76" t="str">
        <f t="shared" si="40"/>
        <v/>
      </c>
      <c r="I215" s="260" t="str">
        <f t="shared" si="38"/>
        <v/>
      </c>
    </row>
    <row r="216" spans="2:9">
      <c r="B216" s="77" t="s">
        <v>22</v>
      </c>
      <c r="C216" s="77" t="s">
        <v>162</v>
      </c>
      <c r="D216" s="77" t="s">
        <v>163</v>
      </c>
      <c r="E216" s="70" t="s">
        <v>166</v>
      </c>
      <c r="F216" s="77" t="s">
        <v>168</v>
      </c>
      <c r="G216" s="70" t="s">
        <v>170</v>
      </c>
      <c r="H216" s="76" t="str">
        <f t="shared" si="40"/>
        <v/>
      </c>
      <c r="I216" s="260" t="str">
        <f t="shared" si="38"/>
        <v/>
      </c>
    </row>
    <row r="217" spans="2:9">
      <c r="B217" s="77" t="s">
        <v>22</v>
      </c>
      <c r="C217" s="77" t="s">
        <v>162</v>
      </c>
      <c r="D217" s="77" t="s">
        <v>163</v>
      </c>
      <c r="E217" s="70" t="s">
        <v>166</v>
      </c>
      <c r="F217" s="77" t="s">
        <v>168</v>
      </c>
      <c r="G217" s="70" t="s">
        <v>171</v>
      </c>
      <c r="H217" s="76" t="str">
        <f t="shared" si="40"/>
        <v/>
      </c>
      <c r="I217" s="260" t="str">
        <f t="shared" si="38"/>
        <v/>
      </c>
    </row>
    <row r="218" spans="2:9">
      <c r="B218" s="77" t="s">
        <v>22</v>
      </c>
      <c r="C218" s="77" t="s">
        <v>162</v>
      </c>
      <c r="D218" s="77" t="s">
        <v>163</v>
      </c>
      <c r="E218" s="70" t="s">
        <v>166</v>
      </c>
      <c r="F218" s="77" t="s">
        <v>169</v>
      </c>
      <c r="G218" s="70" t="s">
        <v>170</v>
      </c>
      <c r="H218" s="76" t="str">
        <f t="shared" si="40"/>
        <v/>
      </c>
      <c r="I218" s="260" t="str">
        <f t="shared" si="38"/>
        <v/>
      </c>
    </row>
    <row r="219" spans="2:9">
      <c r="B219" s="77" t="s">
        <v>22</v>
      </c>
      <c r="C219" s="77" t="s">
        <v>162</v>
      </c>
      <c r="D219" s="77" t="s">
        <v>163</v>
      </c>
      <c r="E219" s="70" t="s">
        <v>166</v>
      </c>
      <c r="F219" s="77" t="s">
        <v>169</v>
      </c>
      <c r="G219" s="70" t="s">
        <v>171</v>
      </c>
      <c r="H219" s="76" t="str">
        <f t="shared" si="40"/>
        <v/>
      </c>
      <c r="I219" s="260" t="str">
        <f t="shared" si="38"/>
        <v/>
      </c>
    </row>
    <row r="220" spans="2:9">
      <c r="B220" s="77" t="s">
        <v>22</v>
      </c>
      <c r="C220" s="77" t="s">
        <v>162</v>
      </c>
      <c r="D220" s="77" t="s">
        <v>163</v>
      </c>
      <c r="E220" s="70" t="s">
        <v>167</v>
      </c>
      <c r="F220" s="77" t="s">
        <v>168</v>
      </c>
      <c r="G220" s="70" t="s">
        <v>170</v>
      </c>
      <c r="H220" s="76" t="str">
        <f t="shared" si="40"/>
        <v/>
      </c>
      <c r="I220" s="260" t="str">
        <f t="shared" si="38"/>
        <v/>
      </c>
    </row>
    <row r="221" spans="2:9">
      <c r="B221" s="77" t="s">
        <v>22</v>
      </c>
      <c r="C221" s="77" t="s">
        <v>162</v>
      </c>
      <c r="D221" s="77" t="s">
        <v>163</v>
      </c>
      <c r="E221" s="70" t="s">
        <v>167</v>
      </c>
      <c r="F221" s="77" t="s">
        <v>168</v>
      </c>
      <c r="G221" s="70" t="s">
        <v>171</v>
      </c>
      <c r="H221" s="76" t="str">
        <f t="shared" si="40"/>
        <v/>
      </c>
      <c r="I221" s="260" t="str">
        <f t="shared" si="38"/>
        <v/>
      </c>
    </row>
    <row r="222" spans="2:9">
      <c r="B222" s="77" t="s">
        <v>22</v>
      </c>
      <c r="C222" s="77" t="s">
        <v>162</v>
      </c>
      <c r="D222" s="77" t="s">
        <v>163</v>
      </c>
      <c r="E222" s="70" t="s">
        <v>167</v>
      </c>
      <c r="F222" s="77" t="s">
        <v>169</v>
      </c>
      <c r="G222" s="70" t="s">
        <v>170</v>
      </c>
      <c r="H222" s="76" t="str">
        <f t="shared" si="40"/>
        <v/>
      </c>
      <c r="I222" s="260" t="str">
        <f t="shared" si="38"/>
        <v/>
      </c>
    </row>
    <row r="223" spans="2:9">
      <c r="B223" s="77" t="s">
        <v>22</v>
      </c>
      <c r="C223" s="77" t="s">
        <v>162</v>
      </c>
      <c r="D223" s="77" t="s">
        <v>163</v>
      </c>
      <c r="E223" s="70" t="s">
        <v>167</v>
      </c>
      <c r="F223" s="77" t="s">
        <v>169</v>
      </c>
      <c r="G223" s="70" t="s">
        <v>171</v>
      </c>
      <c r="H223" s="76" t="str">
        <f t="shared" si="40"/>
        <v/>
      </c>
      <c r="I223" s="260" t="str">
        <f t="shared" si="38"/>
        <v/>
      </c>
    </row>
    <row r="224" spans="2:9">
      <c r="B224" s="77" t="s">
        <v>22</v>
      </c>
      <c r="C224" s="77" t="s">
        <v>162</v>
      </c>
      <c r="D224" s="77" t="s">
        <v>164</v>
      </c>
      <c r="E224" s="70" t="s">
        <v>166</v>
      </c>
      <c r="F224" s="77" t="s">
        <v>168</v>
      </c>
      <c r="G224" s="70" t="s">
        <v>170</v>
      </c>
      <c r="H224" s="76" t="str">
        <f t="shared" si="40"/>
        <v/>
      </c>
      <c r="I224" s="260" t="str">
        <f t="shared" ref="I224:I287" si="41">IF(H224="","",CONCATENATE(C224,"_",D224,"_",E224,"_",F224,"_",G224))</f>
        <v/>
      </c>
    </row>
    <row r="225" spans="2:9">
      <c r="B225" s="77" t="s">
        <v>22</v>
      </c>
      <c r="C225" s="77" t="s">
        <v>162</v>
      </c>
      <c r="D225" s="77" t="s">
        <v>164</v>
      </c>
      <c r="E225" s="70" t="s">
        <v>166</v>
      </c>
      <c r="F225" s="77" t="s">
        <v>168</v>
      </c>
      <c r="G225" s="70" t="s">
        <v>171</v>
      </c>
      <c r="H225" s="76" t="str">
        <f t="shared" si="40"/>
        <v/>
      </c>
      <c r="I225" s="260" t="str">
        <f t="shared" si="41"/>
        <v/>
      </c>
    </row>
    <row r="226" spans="2:9">
      <c r="B226" s="77" t="s">
        <v>22</v>
      </c>
      <c r="C226" s="77" t="s">
        <v>162</v>
      </c>
      <c r="D226" s="77" t="s">
        <v>164</v>
      </c>
      <c r="E226" s="70" t="s">
        <v>166</v>
      </c>
      <c r="F226" s="77" t="s">
        <v>169</v>
      </c>
      <c r="G226" s="70" t="s">
        <v>170</v>
      </c>
      <c r="H226" s="76" t="str">
        <f t="shared" si="40"/>
        <v/>
      </c>
      <c r="I226" s="260" t="str">
        <f t="shared" si="41"/>
        <v/>
      </c>
    </row>
    <row r="227" spans="2:9">
      <c r="B227" s="77" t="s">
        <v>22</v>
      </c>
      <c r="C227" s="77" t="s">
        <v>162</v>
      </c>
      <c r="D227" s="77" t="s">
        <v>164</v>
      </c>
      <c r="E227" s="70" t="s">
        <v>166</v>
      </c>
      <c r="F227" s="77" t="s">
        <v>169</v>
      </c>
      <c r="G227" s="70" t="s">
        <v>171</v>
      </c>
      <c r="H227" s="76" t="str">
        <f t="shared" si="40"/>
        <v/>
      </c>
      <c r="I227" s="260" t="str">
        <f t="shared" si="41"/>
        <v/>
      </c>
    </row>
    <row r="228" spans="2:9">
      <c r="B228" s="77" t="s">
        <v>22</v>
      </c>
      <c r="C228" s="77" t="s">
        <v>162</v>
      </c>
      <c r="D228" s="77" t="s">
        <v>164</v>
      </c>
      <c r="E228" s="70" t="s">
        <v>167</v>
      </c>
      <c r="F228" s="77" t="s">
        <v>168</v>
      </c>
      <c r="G228" s="70" t="s">
        <v>170</v>
      </c>
      <c r="H228" s="76" t="str">
        <f t="shared" si="40"/>
        <v/>
      </c>
      <c r="I228" s="260" t="str">
        <f t="shared" si="41"/>
        <v/>
      </c>
    </row>
    <row r="229" spans="2:9">
      <c r="B229" s="77" t="s">
        <v>22</v>
      </c>
      <c r="C229" s="77" t="s">
        <v>162</v>
      </c>
      <c r="D229" s="77" t="s">
        <v>164</v>
      </c>
      <c r="E229" s="70" t="s">
        <v>167</v>
      </c>
      <c r="F229" s="77" t="s">
        <v>168</v>
      </c>
      <c r="G229" s="70" t="s">
        <v>171</v>
      </c>
      <c r="H229" s="76" t="str">
        <f t="shared" si="40"/>
        <v/>
      </c>
      <c r="I229" s="260" t="str">
        <f t="shared" si="41"/>
        <v/>
      </c>
    </row>
    <row r="230" spans="2:9">
      <c r="B230" s="77" t="s">
        <v>22</v>
      </c>
      <c r="C230" s="77" t="s">
        <v>162</v>
      </c>
      <c r="D230" s="77" t="s">
        <v>164</v>
      </c>
      <c r="E230" s="70" t="s">
        <v>167</v>
      </c>
      <c r="F230" s="77" t="s">
        <v>169</v>
      </c>
      <c r="G230" s="70" t="s">
        <v>170</v>
      </c>
      <c r="H230" s="76" t="str">
        <f t="shared" si="40"/>
        <v/>
      </c>
      <c r="I230" s="260" t="str">
        <f t="shared" si="41"/>
        <v/>
      </c>
    </row>
    <row r="231" spans="2:9">
      <c r="B231" s="77" t="s">
        <v>22</v>
      </c>
      <c r="C231" s="77" t="s">
        <v>162</v>
      </c>
      <c r="D231" s="77" t="s">
        <v>164</v>
      </c>
      <c r="E231" s="70" t="s">
        <v>167</v>
      </c>
      <c r="F231" s="77" t="s">
        <v>169</v>
      </c>
      <c r="G231" s="70" t="s">
        <v>171</v>
      </c>
      <c r="H231" s="76" t="str">
        <f t="shared" si="40"/>
        <v/>
      </c>
      <c r="I231" s="260" t="str">
        <f t="shared" si="41"/>
        <v/>
      </c>
    </row>
    <row r="232" spans="2:9">
      <c r="B232" s="77" t="s">
        <v>22</v>
      </c>
      <c r="C232" s="77" t="s">
        <v>162</v>
      </c>
      <c r="D232" s="77" t="s">
        <v>165</v>
      </c>
      <c r="E232" s="70" t="s">
        <v>166</v>
      </c>
      <c r="F232" s="77" t="s">
        <v>168</v>
      </c>
      <c r="G232" s="70" t="s">
        <v>170</v>
      </c>
      <c r="H232" s="76" t="str">
        <f t="shared" ref="H232:H263" si="42">IF(I79="","",I79)</f>
        <v/>
      </c>
      <c r="I232" s="260" t="str">
        <f t="shared" si="41"/>
        <v/>
      </c>
    </row>
    <row r="233" spans="2:9">
      <c r="B233" s="77" t="s">
        <v>22</v>
      </c>
      <c r="C233" s="77" t="s">
        <v>162</v>
      </c>
      <c r="D233" s="77" t="s">
        <v>165</v>
      </c>
      <c r="E233" s="70" t="s">
        <v>166</v>
      </c>
      <c r="F233" s="77" t="s">
        <v>168</v>
      </c>
      <c r="G233" s="70" t="s">
        <v>171</v>
      </c>
      <c r="H233" s="76" t="str">
        <f t="shared" si="42"/>
        <v/>
      </c>
      <c r="I233" s="260" t="str">
        <f t="shared" si="41"/>
        <v/>
      </c>
    </row>
    <row r="234" spans="2:9">
      <c r="B234" s="77" t="s">
        <v>22</v>
      </c>
      <c r="C234" s="77" t="s">
        <v>162</v>
      </c>
      <c r="D234" s="77" t="s">
        <v>165</v>
      </c>
      <c r="E234" s="70" t="s">
        <v>166</v>
      </c>
      <c r="F234" s="77" t="s">
        <v>169</v>
      </c>
      <c r="G234" s="70" t="s">
        <v>170</v>
      </c>
      <c r="H234" s="76" t="str">
        <f t="shared" si="42"/>
        <v/>
      </c>
      <c r="I234" s="260" t="str">
        <f t="shared" si="41"/>
        <v/>
      </c>
    </row>
    <row r="235" spans="2:9">
      <c r="B235" s="77" t="s">
        <v>22</v>
      </c>
      <c r="C235" s="77" t="s">
        <v>162</v>
      </c>
      <c r="D235" s="77" t="s">
        <v>165</v>
      </c>
      <c r="E235" s="70" t="s">
        <v>166</v>
      </c>
      <c r="F235" s="77" t="s">
        <v>169</v>
      </c>
      <c r="G235" s="70" t="s">
        <v>171</v>
      </c>
      <c r="H235" s="76" t="str">
        <f t="shared" si="42"/>
        <v/>
      </c>
      <c r="I235" s="260" t="str">
        <f t="shared" si="41"/>
        <v/>
      </c>
    </row>
    <row r="236" spans="2:9">
      <c r="B236" s="77" t="s">
        <v>22</v>
      </c>
      <c r="C236" s="77" t="s">
        <v>162</v>
      </c>
      <c r="D236" s="77" t="s">
        <v>165</v>
      </c>
      <c r="E236" s="70" t="s">
        <v>167</v>
      </c>
      <c r="F236" s="77" t="s">
        <v>168</v>
      </c>
      <c r="G236" s="70" t="s">
        <v>170</v>
      </c>
      <c r="H236" s="76" t="str">
        <f t="shared" si="42"/>
        <v/>
      </c>
      <c r="I236" s="260" t="str">
        <f t="shared" si="41"/>
        <v/>
      </c>
    </row>
    <row r="237" spans="2:9">
      <c r="B237" s="77" t="s">
        <v>22</v>
      </c>
      <c r="C237" s="77" t="s">
        <v>162</v>
      </c>
      <c r="D237" s="77" t="s">
        <v>165</v>
      </c>
      <c r="E237" s="70" t="s">
        <v>167</v>
      </c>
      <c r="F237" s="77" t="s">
        <v>168</v>
      </c>
      <c r="G237" s="70" t="s">
        <v>171</v>
      </c>
      <c r="H237" s="76" t="str">
        <f t="shared" si="42"/>
        <v/>
      </c>
      <c r="I237" s="260" t="str">
        <f t="shared" si="41"/>
        <v/>
      </c>
    </row>
    <row r="238" spans="2:9">
      <c r="B238" s="77" t="s">
        <v>22</v>
      </c>
      <c r="C238" s="77" t="s">
        <v>162</v>
      </c>
      <c r="D238" s="77" t="s">
        <v>165</v>
      </c>
      <c r="E238" s="70" t="s">
        <v>167</v>
      </c>
      <c r="F238" s="77" t="s">
        <v>169</v>
      </c>
      <c r="G238" s="70" t="s">
        <v>170</v>
      </c>
      <c r="H238" s="76" t="str">
        <f t="shared" si="42"/>
        <v/>
      </c>
      <c r="I238" s="260" t="str">
        <f t="shared" si="41"/>
        <v/>
      </c>
    </row>
    <row r="239" spans="2:9">
      <c r="B239" s="81" t="s">
        <v>22</v>
      </c>
      <c r="C239" s="81" t="s">
        <v>162</v>
      </c>
      <c r="D239" s="81" t="s">
        <v>165</v>
      </c>
      <c r="E239" s="72" t="s">
        <v>167</v>
      </c>
      <c r="F239" s="81" t="s">
        <v>169</v>
      </c>
      <c r="G239" s="72" t="s">
        <v>171</v>
      </c>
      <c r="H239" s="118" t="str">
        <f t="shared" si="42"/>
        <v/>
      </c>
      <c r="I239" s="262" t="str">
        <f t="shared" si="41"/>
        <v/>
      </c>
    </row>
    <row r="240" spans="2:9">
      <c r="B240" s="75" t="s">
        <v>23</v>
      </c>
      <c r="C240" s="76" t="s">
        <v>160</v>
      </c>
      <c r="D240" s="76" t="s">
        <v>163</v>
      </c>
      <c r="E240" s="65" t="s">
        <v>166</v>
      </c>
      <c r="F240" s="76" t="s">
        <v>168</v>
      </c>
      <c r="G240" s="66" t="s">
        <v>170</v>
      </c>
      <c r="H240" s="76" t="str">
        <f t="shared" ref="H240:H271" si="43">IF(J15="","",J15)</f>
        <v/>
      </c>
      <c r="I240" s="261" t="str">
        <f t="shared" si="41"/>
        <v/>
      </c>
    </row>
    <row r="241" spans="2:9">
      <c r="B241" s="76" t="s">
        <v>23</v>
      </c>
      <c r="C241" s="76" t="s">
        <v>160</v>
      </c>
      <c r="D241" s="76" t="s">
        <v>163</v>
      </c>
      <c r="E241" s="65" t="s">
        <v>166</v>
      </c>
      <c r="F241" s="76" t="s">
        <v>168</v>
      </c>
      <c r="G241" s="66" t="s">
        <v>171</v>
      </c>
      <c r="H241" s="76" t="str">
        <f t="shared" si="43"/>
        <v/>
      </c>
      <c r="I241" s="260" t="str">
        <f t="shared" si="41"/>
        <v/>
      </c>
    </row>
    <row r="242" spans="2:9">
      <c r="B242" s="76" t="s">
        <v>23</v>
      </c>
      <c r="C242" s="76" t="s">
        <v>160</v>
      </c>
      <c r="D242" s="76" t="s">
        <v>163</v>
      </c>
      <c r="E242" s="65" t="s">
        <v>166</v>
      </c>
      <c r="F242" s="76" t="s">
        <v>169</v>
      </c>
      <c r="G242" s="66" t="s">
        <v>170</v>
      </c>
      <c r="H242" s="76" t="str">
        <f t="shared" si="43"/>
        <v/>
      </c>
      <c r="I242" s="260" t="str">
        <f t="shared" si="41"/>
        <v/>
      </c>
    </row>
    <row r="243" spans="2:9">
      <c r="B243" s="76" t="s">
        <v>23</v>
      </c>
      <c r="C243" s="76" t="s">
        <v>160</v>
      </c>
      <c r="D243" s="76" t="s">
        <v>163</v>
      </c>
      <c r="E243" s="65" t="s">
        <v>166</v>
      </c>
      <c r="F243" s="76" t="s">
        <v>169</v>
      </c>
      <c r="G243" s="66" t="s">
        <v>171</v>
      </c>
      <c r="H243" s="76" t="str">
        <f t="shared" si="43"/>
        <v/>
      </c>
      <c r="I243" s="260" t="str">
        <f t="shared" si="41"/>
        <v/>
      </c>
    </row>
    <row r="244" spans="2:9">
      <c r="B244" s="76" t="s">
        <v>23</v>
      </c>
      <c r="C244" s="76" t="s">
        <v>160</v>
      </c>
      <c r="D244" s="76" t="s">
        <v>163</v>
      </c>
      <c r="E244" s="65" t="s">
        <v>167</v>
      </c>
      <c r="F244" s="76" t="s">
        <v>168</v>
      </c>
      <c r="G244" s="66" t="s">
        <v>170</v>
      </c>
      <c r="H244" s="76" t="str">
        <f t="shared" si="43"/>
        <v/>
      </c>
      <c r="I244" s="260" t="str">
        <f t="shared" si="41"/>
        <v/>
      </c>
    </row>
    <row r="245" spans="2:9">
      <c r="B245" s="76" t="s">
        <v>23</v>
      </c>
      <c r="C245" s="76" t="s">
        <v>160</v>
      </c>
      <c r="D245" s="76" t="s">
        <v>163</v>
      </c>
      <c r="E245" s="65" t="s">
        <v>167</v>
      </c>
      <c r="F245" s="76" t="s">
        <v>168</v>
      </c>
      <c r="G245" s="66" t="s">
        <v>171</v>
      </c>
      <c r="H245" s="76" t="str">
        <f t="shared" si="43"/>
        <v/>
      </c>
      <c r="I245" s="260" t="str">
        <f t="shared" si="41"/>
        <v/>
      </c>
    </row>
    <row r="246" spans="2:9">
      <c r="B246" s="76" t="s">
        <v>23</v>
      </c>
      <c r="C246" s="76" t="s">
        <v>160</v>
      </c>
      <c r="D246" s="76" t="s">
        <v>163</v>
      </c>
      <c r="E246" s="65" t="s">
        <v>167</v>
      </c>
      <c r="F246" s="76" t="s">
        <v>169</v>
      </c>
      <c r="G246" s="66" t="s">
        <v>170</v>
      </c>
      <c r="H246" s="76" t="str">
        <f t="shared" si="43"/>
        <v/>
      </c>
      <c r="I246" s="260" t="str">
        <f t="shared" si="41"/>
        <v/>
      </c>
    </row>
    <row r="247" spans="2:9">
      <c r="B247" s="76" t="s">
        <v>23</v>
      </c>
      <c r="C247" s="76" t="s">
        <v>160</v>
      </c>
      <c r="D247" s="76" t="s">
        <v>163</v>
      </c>
      <c r="E247" s="65" t="s">
        <v>167</v>
      </c>
      <c r="F247" s="76" t="s">
        <v>169</v>
      </c>
      <c r="G247" s="66" t="s">
        <v>171</v>
      </c>
      <c r="H247" s="76" t="str">
        <f t="shared" si="43"/>
        <v/>
      </c>
      <c r="I247" s="260" t="str">
        <f t="shared" si="41"/>
        <v/>
      </c>
    </row>
    <row r="248" spans="2:9">
      <c r="B248" s="76" t="s">
        <v>23</v>
      </c>
      <c r="C248" s="76" t="s">
        <v>160</v>
      </c>
      <c r="D248" s="76" t="s">
        <v>164</v>
      </c>
      <c r="E248" s="65" t="s">
        <v>166</v>
      </c>
      <c r="F248" s="76" t="s">
        <v>168</v>
      </c>
      <c r="G248" s="66" t="s">
        <v>170</v>
      </c>
      <c r="H248" s="76" t="str">
        <f t="shared" si="43"/>
        <v/>
      </c>
      <c r="I248" s="260" t="str">
        <f t="shared" si="41"/>
        <v/>
      </c>
    </row>
    <row r="249" spans="2:9">
      <c r="B249" s="76" t="s">
        <v>23</v>
      </c>
      <c r="C249" s="76" t="s">
        <v>160</v>
      </c>
      <c r="D249" s="76" t="s">
        <v>164</v>
      </c>
      <c r="E249" s="65" t="s">
        <v>166</v>
      </c>
      <c r="F249" s="76" t="s">
        <v>168</v>
      </c>
      <c r="G249" s="66" t="s">
        <v>171</v>
      </c>
      <c r="H249" s="76" t="str">
        <f t="shared" si="43"/>
        <v/>
      </c>
      <c r="I249" s="260" t="str">
        <f t="shared" si="41"/>
        <v/>
      </c>
    </row>
    <row r="250" spans="2:9">
      <c r="B250" s="76" t="s">
        <v>23</v>
      </c>
      <c r="C250" s="76" t="s">
        <v>160</v>
      </c>
      <c r="D250" s="76" t="s">
        <v>164</v>
      </c>
      <c r="E250" s="65" t="s">
        <v>166</v>
      </c>
      <c r="F250" s="76" t="s">
        <v>169</v>
      </c>
      <c r="G250" s="66" t="s">
        <v>170</v>
      </c>
      <c r="H250" s="76" t="str">
        <f t="shared" si="43"/>
        <v/>
      </c>
      <c r="I250" s="260" t="str">
        <f t="shared" si="41"/>
        <v/>
      </c>
    </row>
    <row r="251" spans="2:9">
      <c r="B251" s="76" t="s">
        <v>23</v>
      </c>
      <c r="C251" s="76" t="s">
        <v>160</v>
      </c>
      <c r="D251" s="76" t="s">
        <v>164</v>
      </c>
      <c r="E251" s="65" t="s">
        <v>166</v>
      </c>
      <c r="F251" s="76" t="s">
        <v>169</v>
      </c>
      <c r="G251" s="66" t="s">
        <v>171</v>
      </c>
      <c r="H251" s="76" t="str">
        <f t="shared" si="43"/>
        <v/>
      </c>
      <c r="I251" s="260" t="str">
        <f t="shared" si="41"/>
        <v/>
      </c>
    </row>
    <row r="252" spans="2:9">
      <c r="B252" s="76" t="s">
        <v>23</v>
      </c>
      <c r="C252" s="76" t="s">
        <v>160</v>
      </c>
      <c r="D252" s="76" t="s">
        <v>164</v>
      </c>
      <c r="E252" s="65" t="s">
        <v>167</v>
      </c>
      <c r="F252" s="76" t="s">
        <v>168</v>
      </c>
      <c r="G252" s="66" t="s">
        <v>170</v>
      </c>
      <c r="H252" s="76" t="str">
        <f t="shared" si="43"/>
        <v/>
      </c>
      <c r="I252" s="260" t="str">
        <f t="shared" si="41"/>
        <v/>
      </c>
    </row>
    <row r="253" spans="2:9">
      <c r="B253" s="76" t="s">
        <v>23</v>
      </c>
      <c r="C253" s="76" t="s">
        <v>160</v>
      </c>
      <c r="D253" s="76" t="s">
        <v>164</v>
      </c>
      <c r="E253" s="65" t="s">
        <v>167</v>
      </c>
      <c r="F253" s="76" t="s">
        <v>168</v>
      </c>
      <c r="G253" s="66" t="s">
        <v>171</v>
      </c>
      <c r="H253" s="76" t="str">
        <f t="shared" si="43"/>
        <v/>
      </c>
      <c r="I253" s="260" t="str">
        <f t="shared" si="41"/>
        <v/>
      </c>
    </row>
    <row r="254" spans="2:9">
      <c r="B254" s="76" t="s">
        <v>23</v>
      </c>
      <c r="C254" s="76" t="s">
        <v>160</v>
      </c>
      <c r="D254" s="76" t="s">
        <v>164</v>
      </c>
      <c r="E254" s="65" t="s">
        <v>167</v>
      </c>
      <c r="F254" s="76" t="s">
        <v>169</v>
      </c>
      <c r="G254" s="66" t="s">
        <v>170</v>
      </c>
      <c r="H254" s="76" t="str">
        <f t="shared" si="43"/>
        <v/>
      </c>
      <c r="I254" s="260" t="str">
        <f t="shared" si="41"/>
        <v/>
      </c>
    </row>
    <row r="255" spans="2:9">
      <c r="B255" s="76" t="s">
        <v>23</v>
      </c>
      <c r="C255" s="76" t="s">
        <v>160</v>
      </c>
      <c r="D255" s="76" t="s">
        <v>164</v>
      </c>
      <c r="E255" s="65" t="s">
        <v>167</v>
      </c>
      <c r="F255" s="76" t="s">
        <v>169</v>
      </c>
      <c r="G255" s="66" t="s">
        <v>171</v>
      </c>
      <c r="H255" s="76" t="str">
        <f t="shared" si="43"/>
        <v/>
      </c>
      <c r="I255" s="260" t="str">
        <f t="shared" si="41"/>
        <v/>
      </c>
    </row>
    <row r="256" spans="2:9">
      <c r="B256" s="76" t="s">
        <v>23</v>
      </c>
      <c r="C256" s="76" t="s">
        <v>160</v>
      </c>
      <c r="D256" s="76" t="s">
        <v>165</v>
      </c>
      <c r="E256" s="65" t="s">
        <v>166</v>
      </c>
      <c r="F256" s="76" t="s">
        <v>168</v>
      </c>
      <c r="G256" s="66" t="s">
        <v>170</v>
      </c>
      <c r="H256" s="76" t="str">
        <f t="shared" si="43"/>
        <v/>
      </c>
      <c r="I256" s="260" t="str">
        <f t="shared" si="41"/>
        <v/>
      </c>
    </row>
    <row r="257" spans="2:9">
      <c r="B257" s="76" t="s">
        <v>23</v>
      </c>
      <c r="C257" s="76" t="s">
        <v>160</v>
      </c>
      <c r="D257" s="76" t="s">
        <v>165</v>
      </c>
      <c r="E257" s="65" t="s">
        <v>166</v>
      </c>
      <c r="F257" s="76" t="s">
        <v>168</v>
      </c>
      <c r="G257" s="65" t="s">
        <v>171</v>
      </c>
      <c r="H257" s="76" t="str">
        <f t="shared" si="43"/>
        <v/>
      </c>
      <c r="I257" s="260" t="str">
        <f t="shared" si="41"/>
        <v/>
      </c>
    </row>
    <row r="258" spans="2:9">
      <c r="B258" s="76" t="s">
        <v>23</v>
      </c>
      <c r="C258" s="76" t="s">
        <v>160</v>
      </c>
      <c r="D258" s="76" t="s">
        <v>165</v>
      </c>
      <c r="E258" s="65" t="s">
        <v>166</v>
      </c>
      <c r="F258" s="77" t="s">
        <v>169</v>
      </c>
      <c r="G258" s="65" t="s">
        <v>170</v>
      </c>
      <c r="H258" s="76" t="str">
        <f t="shared" si="43"/>
        <v/>
      </c>
      <c r="I258" s="260" t="str">
        <f t="shared" si="41"/>
        <v/>
      </c>
    </row>
    <row r="259" spans="2:9">
      <c r="B259" s="76" t="s">
        <v>23</v>
      </c>
      <c r="C259" s="76" t="s">
        <v>160</v>
      </c>
      <c r="D259" s="76" t="s">
        <v>165</v>
      </c>
      <c r="E259" s="65" t="s">
        <v>166</v>
      </c>
      <c r="F259" s="77" t="s">
        <v>169</v>
      </c>
      <c r="G259" s="65" t="s">
        <v>171</v>
      </c>
      <c r="H259" s="76" t="str">
        <f t="shared" si="43"/>
        <v/>
      </c>
      <c r="I259" s="260" t="str">
        <f t="shared" si="41"/>
        <v/>
      </c>
    </row>
    <row r="260" spans="2:9">
      <c r="B260" s="76" t="s">
        <v>23</v>
      </c>
      <c r="C260" s="76" t="s">
        <v>160</v>
      </c>
      <c r="D260" s="76" t="s">
        <v>165</v>
      </c>
      <c r="E260" s="65" t="s">
        <v>167</v>
      </c>
      <c r="F260" s="77" t="s">
        <v>168</v>
      </c>
      <c r="G260" s="65" t="s">
        <v>170</v>
      </c>
      <c r="H260" s="76" t="str">
        <f t="shared" si="43"/>
        <v/>
      </c>
      <c r="I260" s="260" t="str">
        <f t="shared" si="41"/>
        <v/>
      </c>
    </row>
    <row r="261" spans="2:9">
      <c r="B261" s="76" t="s">
        <v>23</v>
      </c>
      <c r="C261" s="76" t="s">
        <v>160</v>
      </c>
      <c r="D261" s="76" t="s">
        <v>165</v>
      </c>
      <c r="E261" s="65" t="s">
        <v>167</v>
      </c>
      <c r="F261" s="77" t="s">
        <v>168</v>
      </c>
      <c r="G261" s="65" t="s">
        <v>171</v>
      </c>
      <c r="H261" s="76" t="str">
        <f t="shared" si="43"/>
        <v/>
      </c>
      <c r="I261" s="260" t="str">
        <f t="shared" si="41"/>
        <v/>
      </c>
    </row>
    <row r="262" spans="2:9">
      <c r="B262" s="76" t="s">
        <v>23</v>
      </c>
      <c r="C262" s="76" t="s">
        <v>160</v>
      </c>
      <c r="D262" s="76" t="s">
        <v>165</v>
      </c>
      <c r="E262" s="65" t="s">
        <v>167</v>
      </c>
      <c r="F262" s="77" t="s">
        <v>169</v>
      </c>
      <c r="G262" s="65" t="s">
        <v>170</v>
      </c>
      <c r="H262" s="76" t="str">
        <f t="shared" si="43"/>
        <v/>
      </c>
      <c r="I262" s="260" t="str">
        <f t="shared" si="41"/>
        <v/>
      </c>
    </row>
    <row r="263" spans="2:9">
      <c r="B263" s="76" t="s">
        <v>23</v>
      </c>
      <c r="C263" s="76" t="s">
        <v>160</v>
      </c>
      <c r="D263" s="76" t="s">
        <v>165</v>
      </c>
      <c r="E263" s="65" t="s">
        <v>167</v>
      </c>
      <c r="F263" s="77" t="s">
        <v>169</v>
      </c>
      <c r="G263" s="65" t="s">
        <v>171</v>
      </c>
      <c r="H263" s="76" t="str">
        <f t="shared" si="43"/>
        <v/>
      </c>
      <c r="I263" s="260" t="str">
        <f t="shared" si="41"/>
        <v/>
      </c>
    </row>
    <row r="264" spans="2:9">
      <c r="B264" s="76" t="s">
        <v>23</v>
      </c>
      <c r="C264" s="76" t="s">
        <v>161</v>
      </c>
      <c r="D264" s="76" t="s">
        <v>163</v>
      </c>
      <c r="E264" s="65" t="s">
        <v>166</v>
      </c>
      <c r="F264" s="77" t="s">
        <v>168</v>
      </c>
      <c r="G264" s="65" t="s">
        <v>170</v>
      </c>
      <c r="H264" s="76" t="str">
        <f t="shared" si="43"/>
        <v/>
      </c>
      <c r="I264" s="260" t="str">
        <f t="shared" si="41"/>
        <v/>
      </c>
    </row>
    <row r="265" spans="2:9">
      <c r="B265" s="76" t="s">
        <v>23</v>
      </c>
      <c r="C265" s="76" t="s">
        <v>161</v>
      </c>
      <c r="D265" s="76" t="s">
        <v>163</v>
      </c>
      <c r="E265" s="65" t="s">
        <v>166</v>
      </c>
      <c r="F265" s="77" t="s">
        <v>168</v>
      </c>
      <c r="G265" s="65" t="s">
        <v>171</v>
      </c>
      <c r="H265" s="76" t="str">
        <f t="shared" si="43"/>
        <v/>
      </c>
      <c r="I265" s="260" t="str">
        <f t="shared" si="41"/>
        <v/>
      </c>
    </row>
    <row r="266" spans="2:9">
      <c r="B266" s="76" t="s">
        <v>23</v>
      </c>
      <c r="C266" s="76" t="s">
        <v>161</v>
      </c>
      <c r="D266" s="77" t="s">
        <v>163</v>
      </c>
      <c r="E266" s="65" t="s">
        <v>166</v>
      </c>
      <c r="F266" s="77" t="s">
        <v>169</v>
      </c>
      <c r="G266" s="65" t="s">
        <v>170</v>
      </c>
      <c r="H266" s="76" t="str">
        <f t="shared" si="43"/>
        <v/>
      </c>
      <c r="I266" s="260" t="str">
        <f t="shared" si="41"/>
        <v/>
      </c>
    </row>
    <row r="267" spans="2:9">
      <c r="B267" s="77" t="s">
        <v>23</v>
      </c>
      <c r="C267" s="77" t="s">
        <v>161</v>
      </c>
      <c r="D267" s="77" t="s">
        <v>163</v>
      </c>
      <c r="E267" s="65" t="s">
        <v>166</v>
      </c>
      <c r="F267" s="77" t="s">
        <v>169</v>
      </c>
      <c r="G267" s="65" t="s">
        <v>171</v>
      </c>
      <c r="H267" s="76" t="str">
        <f t="shared" si="43"/>
        <v/>
      </c>
      <c r="I267" s="260" t="str">
        <f t="shared" si="41"/>
        <v/>
      </c>
    </row>
    <row r="268" spans="2:9">
      <c r="B268" s="77" t="s">
        <v>23</v>
      </c>
      <c r="C268" s="77" t="s">
        <v>161</v>
      </c>
      <c r="D268" s="77" t="s">
        <v>163</v>
      </c>
      <c r="E268" s="65" t="s">
        <v>167</v>
      </c>
      <c r="F268" s="77" t="s">
        <v>168</v>
      </c>
      <c r="G268" s="65" t="s">
        <v>170</v>
      </c>
      <c r="H268" s="76" t="str">
        <f t="shared" si="43"/>
        <v/>
      </c>
      <c r="I268" s="260" t="str">
        <f t="shared" si="41"/>
        <v/>
      </c>
    </row>
    <row r="269" spans="2:9">
      <c r="B269" s="78" t="s">
        <v>23</v>
      </c>
      <c r="C269" s="78" t="s">
        <v>161</v>
      </c>
      <c r="D269" s="78" t="s">
        <v>163</v>
      </c>
      <c r="E269" s="71" t="s">
        <v>167</v>
      </c>
      <c r="F269" s="78" t="s">
        <v>168</v>
      </c>
      <c r="G269" s="71" t="s">
        <v>171</v>
      </c>
      <c r="H269" s="164" t="str">
        <f t="shared" si="43"/>
        <v/>
      </c>
      <c r="I269" s="260" t="str">
        <f t="shared" si="41"/>
        <v/>
      </c>
    </row>
    <row r="270" spans="2:9">
      <c r="B270" s="76" t="s">
        <v>23</v>
      </c>
      <c r="C270" s="76" t="s">
        <v>161</v>
      </c>
      <c r="D270" s="82" t="s">
        <v>163</v>
      </c>
      <c r="E270" s="68" t="s">
        <v>167</v>
      </c>
      <c r="F270" s="79" t="s">
        <v>169</v>
      </c>
      <c r="G270" s="69" t="s">
        <v>170</v>
      </c>
      <c r="H270" s="76" t="str">
        <f t="shared" si="43"/>
        <v/>
      </c>
      <c r="I270" s="260" t="str">
        <f t="shared" si="41"/>
        <v/>
      </c>
    </row>
    <row r="271" spans="2:9">
      <c r="B271" s="76" t="s">
        <v>23</v>
      </c>
      <c r="C271" s="76" t="s">
        <v>161</v>
      </c>
      <c r="D271" s="82" t="s">
        <v>163</v>
      </c>
      <c r="E271" s="68" t="s">
        <v>167</v>
      </c>
      <c r="F271" s="79" t="s">
        <v>169</v>
      </c>
      <c r="G271" s="69" t="s">
        <v>171</v>
      </c>
      <c r="H271" s="76" t="str">
        <f t="shared" si="43"/>
        <v/>
      </c>
      <c r="I271" s="260" t="str">
        <f t="shared" si="41"/>
        <v/>
      </c>
    </row>
    <row r="272" spans="2:9">
      <c r="B272" s="76" t="s">
        <v>23</v>
      </c>
      <c r="C272" s="76" t="s">
        <v>161</v>
      </c>
      <c r="D272" s="82" t="s">
        <v>164</v>
      </c>
      <c r="E272" s="68" t="s">
        <v>166</v>
      </c>
      <c r="F272" s="79" t="s">
        <v>168</v>
      </c>
      <c r="G272" s="69" t="s">
        <v>170</v>
      </c>
      <c r="H272" s="76" t="str">
        <f t="shared" ref="H272:H303" si="44">IF(J47="","",J47)</f>
        <v/>
      </c>
      <c r="I272" s="260" t="str">
        <f t="shared" si="41"/>
        <v/>
      </c>
    </row>
    <row r="273" spans="2:9">
      <c r="B273" s="76" t="s">
        <v>23</v>
      </c>
      <c r="C273" s="76" t="s">
        <v>161</v>
      </c>
      <c r="D273" s="82" t="s">
        <v>164</v>
      </c>
      <c r="E273" s="68" t="s">
        <v>166</v>
      </c>
      <c r="F273" s="79" t="s">
        <v>168</v>
      </c>
      <c r="G273" s="69" t="s">
        <v>171</v>
      </c>
      <c r="H273" s="76" t="str">
        <f t="shared" si="44"/>
        <v/>
      </c>
      <c r="I273" s="260" t="str">
        <f t="shared" si="41"/>
        <v/>
      </c>
    </row>
    <row r="274" spans="2:9">
      <c r="B274" s="76" t="s">
        <v>23</v>
      </c>
      <c r="C274" s="76" t="s">
        <v>161</v>
      </c>
      <c r="D274" s="82" t="s">
        <v>164</v>
      </c>
      <c r="E274" s="68" t="s">
        <v>166</v>
      </c>
      <c r="F274" s="79" t="s">
        <v>169</v>
      </c>
      <c r="G274" s="69" t="s">
        <v>170</v>
      </c>
      <c r="H274" s="76" t="str">
        <f t="shared" si="44"/>
        <v/>
      </c>
      <c r="I274" s="260" t="str">
        <f t="shared" si="41"/>
        <v/>
      </c>
    </row>
    <row r="275" spans="2:9">
      <c r="B275" s="84" t="s">
        <v>23</v>
      </c>
      <c r="C275" s="84" t="s">
        <v>161</v>
      </c>
      <c r="D275" s="83" t="s">
        <v>164</v>
      </c>
      <c r="E275" s="73" t="s">
        <v>166</v>
      </c>
      <c r="F275" s="80" t="s">
        <v>169</v>
      </c>
      <c r="G275" s="74" t="s">
        <v>171</v>
      </c>
      <c r="H275" s="84" t="str">
        <f t="shared" si="44"/>
        <v/>
      </c>
      <c r="I275" s="260" t="str">
        <f t="shared" si="41"/>
        <v/>
      </c>
    </row>
    <row r="276" spans="2:9">
      <c r="B276" s="84" t="s">
        <v>23</v>
      </c>
      <c r="C276" s="84" t="s">
        <v>161</v>
      </c>
      <c r="D276" s="83" t="s">
        <v>164</v>
      </c>
      <c r="E276" s="73" t="s">
        <v>167</v>
      </c>
      <c r="F276" s="80" t="s">
        <v>168</v>
      </c>
      <c r="G276" s="74" t="s">
        <v>170</v>
      </c>
      <c r="H276" s="84" t="str">
        <f t="shared" si="44"/>
        <v/>
      </c>
      <c r="I276" s="260" t="str">
        <f t="shared" si="41"/>
        <v/>
      </c>
    </row>
    <row r="277" spans="2:9">
      <c r="B277" s="84" t="s">
        <v>23</v>
      </c>
      <c r="C277" s="84" t="s">
        <v>161</v>
      </c>
      <c r="D277" s="83" t="s">
        <v>164</v>
      </c>
      <c r="E277" s="73" t="s">
        <v>167</v>
      </c>
      <c r="F277" s="80" t="s">
        <v>168</v>
      </c>
      <c r="G277" s="74" t="s">
        <v>171</v>
      </c>
      <c r="H277" s="84" t="str">
        <f t="shared" si="44"/>
        <v/>
      </c>
      <c r="I277" s="260" t="str">
        <f t="shared" si="41"/>
        <v/>
      </c>
    </row>
    <row r="278" spans="2:9">
      <c r="B278" s="84" t="s">
        <v>23</v>
      </c>
      <c r="C278" s="84" t="s">
        <v>161</v>
      </c>
      <c r="D278" s="83" t="s">
        <v>164</v>
      </c>
      <c r="E278" s="73" t="s">
        <v>167</v>
      </c>
      <c r="F278" s="80" t="s">
        <v>169</v>
      </c>
      <c r="G278" s="74" t="s">
        <v>170</v>
      </c>
      <c r="H278" s="84" t="str">
        <f t="shared" si="44"/>
        <v/>
      </c>
      <c r="I278" s="260" t="str">
        <f t="shared" si="41"/>
        <v/>
      </c>
    </row>
    <row r="279" spans="2:9">
      <c r="B279" s="84" t="s">
        <v>23</v>
      </c>
      <c r="C279" s="84" t="s">
        <v>161</v>
      </c>
      <c r="D279" s="83" t="s">
        <v>164</v>
      </c>
      <c r="E279" s="73" t="s">
        <v>167</v>
      </c>
      <c r="F279" s="80" t="s">
        <v>169</v>
      </c>
      <c r="G279" s="74" t="s">
        <v>171</v>
      </c>
      <c r="H279" s="84" t="str">
        <f t="shared" si="44"/>
        <v/>
      </c>
      <c r="I279" s="260" t="str">
        <f t="shared" si="41"/>
        <v/>
      </c>
    </row>
    <row r="280" spans="2:9">
      <c r="B280" s="84" t="s">
        <v>23</v>
      </c>
      <c r="C280" s="84" t="s">
        <v>161</v>
      </c>
      <c r="D280" s="83" t="s">
        <v>165</v>
      </c>
      <c r="E280" s="73" t="s">
        <v>166</v>
      </c>
      <c r="F280" s="80" t="s">
        <v>168</v>
      </c>
      <c r="G280" s="74" t="s">
        <v>170</v>
      </c>
      <c r="H280" s="84" t="str">
        <f t="shared" si="44"/>
        <v/>
      </c>
      <c r="I280" s="260" t="str">
        <f t="shared" si="41"/>
        <v/>
      </c>
    </row>
    <row r="281" spans="2:9">
      <c r="B281" s="84" t="s">
        <v>23</v>
      </c>
      <c r="C281" s="84" t="s">
        <v>161</v>
      </c>
      <c r="D281" s="83" t="s">
        <v>165</v>
      </c>
      <c r="E281" s="73" t="s">
        <v>166</v>
      </c>
      <c r="F281" s="80" t="s">
        <v>168</v>
      </c>
      <c r="G281" s="74" t="s">
        <v>171</v>
      </c>
      <c r="H281" s="84" t="str">
        <f t="shared" si="44"/>
        <v/>
      </c>
      <c r="I281" s="260" t="str">
        <f t="shared" si="41"/>
        <v/>
      </c>
    </row>
    <row r="282" spans="2:9">
      <c r="B282" s="84" t="s">
        <v>23</v>
      </c>
      <c r="C282" s="84" t="s">
        <v>161</v>
      </c>
      <c r="D282" s="83" t="s">
        <v>165</v>
      </c>
      <c r="E282" s="73" t="s">
        <v>166</v>
      </c>
      <c r="F282" s="80" t="s">
        <v>169</v>
      </c>
      <c r="G282" s="74" t="s">
        <v>170</v>
      </c>
      <c r="H282" s="84" t="str">
        <f t="shared" si="44"/>
        <v/>
      </c>
      <c r="I282" s="260" t="str">
        <f t="shared" si="41"/>
        <v/>
      </c>
    </row>
    <row r="283" spans="2:9">
      <c r="B283" s="84" t="s">
        <v>23</v>
      </c>
      <c r="C283" s="84" t="s">
        <v>161</v>
      </c>
      <c r="D283" s="83" t="s">
        <v>165</v>
      </c>
      <c r="E283" s="73" t="s">
        <v>166</v>
      </c>
      <c r="F283" s="80" t="s">
        <v>169</v>
      </c>
      <c r="G283" s="74" t="s">
        <v>171</v>
      </c>
      <c r="H283" s="84" t="str">
        <f t="shared" si="44"/>
        <v/>
      </c>
      <c r="I283" s="260" t="str">
        <f t="shared" si="41"/>
        <v/>
      </c>
    </row>
    <row r="284" spans="2:9">
      <c r="B284" s="84" t="s">
        <v>23</v>
      </c>
      <c r="C284" s="84" t="s">
        <v>161</v>
      </c>
      <c r="D284" s="83" t="s">
        <v>165</v>
      </c>
      <c r="E284" s="73" t="s">
        <v>167</v>
      </c>
      <c r="F284" s="80" t="s">
        <v>168</v>
      </c>
      <c r="G284" s="74" t="s">
        <v>170</v>
      </c>
      <c r="H284" s="84" t="str">
        <f t="shared" si="44"/>
        <v/>
      </c>
      <c r="I284" s="260" t="str">
        <f t="shared" si="41"/>
        <v/>
      </c>
    </row>
    <row r="285" spans="2:9">
      <c r="B285" s="76" t="s">
        <v>23</v>
      </c>
      <c r="C285" s="76" t="s">
        <v>161</v>
      </c>
      <c r="D285" s="82" t="s">
        <v>165</v>
      </c>
      <c r="E285" s="68" t="s">
        <v>167</v>
      </c>
      <c r="F285" s="77" t="s">
        <v>168</v>
      </c>
      <c r="G285" s="65" t="s">
        <v>171</v>
      </c>
      <c r="H285" s="76" t="str">
        <f t="shared" si="44"/>
        <v/>
      </c>
      <c r="I285" s="260" t="str">
        <f t="shared" si="41"/>
        <v/>
      </c>
    </row>
    <row r="286" spans="2:9">
      <c r="B286" s="76" t="s">
        <v>23</v>
      </c>
      <c r="C286" s="76" t="s">
        <v>161</v>
      </c>
      <c r="D286" s="82" t="s">
        <v>165</v>
      </c>
      <c r="E286" s="68" t="s">
        <v>167</v>
      </c>
      <c r="F286" s="77" t="s">
        <v>169</v>
      </c>
      <c r="G286" s="65" t="s">
        <v>170</v>
      </c>
      <c r="H286" s="76" t="str">
        <f t="shared" si="44"/>
        <v/>
      </c>
      <c r="I286" s="260" t="str">
        <f t="shared" si="41"/>
        <v/>
      </c>
    </row>
    <row r="287" spans="2:9">
      <c r="B287" s="77" t="s">
        <v>23</v>
      </c>
      <c r="C287" s="77" t="s">
        <v>161</v>
      </c>
      <c r="D287" s="77" t="s">
        <v>165</v>
      </c>
      <c r="E287" s="65" t="s">
        <v>167</v>
      </c>
      <c r="F287" s="77" t="s">
        <v>169</v>
      </c>
      <c r="G287" s="65" t="s">
        <v>171</v>
      </c>
      <c r="H287" s="76" t="str">
        <f t="shared" si="44"/>
        <v/>
      </c>
      <c r="I287" s="260" t="str">
        <f t="shared" si="41"/>
        <v/>
      </c>
    </row>
    <row r="288" spans="2:9">
      <c r="B288" s="77" t="s">
        <v>23</v>
      </c>
      <c r="C288" s="77" t="s">
        <v>162</v>
      </c>
      <c r="D288" s="77" t="s">
        <v>163</v>
      </c>
      <c r="E288" s="70" t="s">
        <v>166</v>
      </c>
      <c r="F288" s="77" t="s">
        <v>168</v>
      </c>
      <c r="G288" s="70" t="s">
        <v>170</v>
      </c>
      <c r="H288" s="76" t="str">
        <f t="shared" si="44"/>
        <v/>
      </c>
      <c r="I288" s="260" t="str">
        <f t="shared" ref="I288:I351" si="45">IF(H288="","",CONCATENATE(C288,"_",D288,"_",E288,"_",F288,"_",G288))</f>
        <v/>
      </c>
    </row>
    <row r="289" spans="2:9">
      <c r="B289" s="77" t="s">
        <v>23</v>
      </c>
      <c r="C289" s="77" t="s">
        <v>162</v>
      </c>
      <c r="D289" s="77" t="s">
        <v>163</v>
      </c>
      <c r="E289" s="70" t="s">
        <v>166</v>
      </c>
      <c r="F289" s="77" t="s">
        <v>168</v>
      </c>
      <c r="G289" s="70" t="s">
        <v>171</v>
      </c>
      <c r="H289" s="76" t="str">
        <f t="shared" si="44"/>
        <v/>
      </c>
      <c r="I289" s="260" t="str">
        <f t="shared" si="45"/>
        <v/>
      </c>
    </row>
    <row r="290" spans="2:9">
      <c r="B290" s="77" t="s">
        <v>23</v>
      </c>
      <c r="C290" s="77" t="s">
        <v>162</v>
      </c>
      <c r="D290" s="77" t="s">
        <v>163</v>
      </c>
      <c r="E290" s="70" t="s">
        <v>166</v>
      </c>
      <c r="F290" s="77" t="s">
        <v>169</v>
      </c>
      <c r="G290" s="70" t="s">
        <v>170</v>
      </c>
      <c r="H290" s="76" t="str">
        <f t="shared" si="44"/>
        <v/>
      </c>
      <c r="I290" s="260" t="str">
        <f t="shared" si="45"/>
        <v/>
      </c>
    </row>
    <row r="291" spans="2:9">
      <c r="B291" s="77" t="s">
        <v>23</v>
      </c>
      <c r="C291" s="77" t="s">
        <v>162</v>
      </c>
      <c r="D291" s="77" t="s">
        <v>163</v>
      </c>
      <c r="E291" s="70" t="s">
        <v>166</v>
      </c>
      <c r="F291" s="77" t="s">
        <v>169</v>
      </c>
      <c r="G291" s="70" t="s">
        <v>171</v>
      </c>
      <c r="H291" s="76" t="str">
        <f t="shared" si="44"/>
        <v/>
      </c>
      <c r="I291" s="260" t="str">
        <f t="shared" si="45"/>
        <v/>
      </c>
    </row>
    <row r="292" spans="2:9">
      <c r="B292" s="77" t="s">
        <v>23</v>
      </c>
      <c r="C292" s="77" t="s">
        <v>162</v>
      </c>
      <c r="D292" s="77" t="s">
        <v>163</v>
      </c>
      <c r="E292" s="70" t="s">
        <v>167</v>
      </c>
      <c r="F292" s="77" t="s">
        <v>168</v>
      </c>
      <c r="G292" s="70" t="s">
        <v>170</v>
      </c>
      <c r="H292" s="76" t="str">
        <f t="shared" si="44"/>
        <v/>
      </c>
      <c r="I292" s="260" t="str">
        <f t="shared" si="45"/>
        <v/>
      </c>
    </row>
    <row r="293" spans="2:9">
      <c r="B293" s="77" t="s">
        <v>23</v>
      </c>
      <c r="C293" s="77" t="s">
        <v>162</v>
      </c>
      <c r="D293" s="77" t="s">
        <v>163</v>
      </c>
      <c r="E293" s="70" t="s">
        <v>167</v>
      </c>
      <c r="F293" s="77" t="s">
        <v>168</v>
      </c>
      <c r="G293" s="70" t="s">
        <v>171</v>
      </c>
      <c r="H293" s="76" t="str">
        <f t="shared" si="44"/>
        <v/>
      </c>
      <c r="I293" s="260" t="str">
        <f t="shared" si="45"/>
        <v/>
      </c>
    </row>
    <row r="294" spans="2:9">
      <c r="B294" s="77" t="s">
        <v>23</v>
      </c>
      <c r="C294" s="77" t="s">
        <v>162</v>
      </c>
      <c r="D294" s="77" t="s">
        <v>163</v>
      </c>
      <c r="E294" s="70" t="s">
        <v>167</v>
      </c>
      <c r="F294" s="77" t="s">
        <v>169</v>
      </c>
      <c r="G294" s="70" t="s">
        <v>170</v>
      </c>
      <c r="H294" s="76" t="str">
        <f t="shared" si="44"/>
        <v/>
      </c>
      <c r="I294" s="260" t="str">
        <f t="shared" si="45"/>
        <v/>
      </c>
    </row>
    <row r="295" spans="2:9">
      <c r="B295" s="77" t="s">
        <v>23</v>
      </c>
      <c r="C295" s="77" t="s">
        <v>162</v>
      </c>
      <c r="D295" s="77" t="s">
        <v>163</v>
      </c>
      <c r="E295" s="70" t="s">
        <v>167</v>
      </c>
      <c r="F295" s="77" t="s">
        <v>169</v>
      </c>
      <c r="G295" s="70" t="s">
        <v>171</v>
      </c>
      <c r="H295" s="76" t="str">
        <f t="shared" si="44"/>
        <v/>
      </c>
      <c r="I295" s="260" t="str">
        <f t="shared" si="45"/>
        <v/>
      </c>
    </row>
    <row r="296" spans="2:9">
      <c r="B296" s="77" t="s">
        <v>23</v>
      </c>
      <c r="C296" s="77" t="s">
        <v>162</v>
      </c>
      <c r="D296" s="77" t="s">
        <v>164</v>
      </c>
      <c r="E296" s="70" t="s">
        <v>166</v>
      </c>
      <c r="F296" s="77" t="s">
        <v>168</v>
      </c>
      <c r="G296" s="70" t="s">
        <v>170</v>
      </c>
      <c r="H296" s="76" t="str">
        <f t="shared" si="44"/>
        <v/>
      </c>
      <c r="I296" s="260" t="str">
        <f t="shared" si="45"/>
        <v/>
      </c>
    </row>
    <row r="297" spans="2:9">
      <c r="B297" s="77" t="s">
        <v>23</v>
      </c>
      <c r="C297" s="77" t="s">
        <v>162</v>
      </c>
      <c r="D297" s="77" t="s">
        <v>164</v>
      </c>
      <c r="E297" s="70" t="s">
        <v>166</v>
      </c>
      <c r="F297" s="77" t="s">
        <v>168</v>
      </c>
      <c r="G297" s="70" t="s">
        <v>171</v>
      </c>
      <c r="H297" s="76" t="str">
        <f t="shared" si="44"/>
        <v/>
      </c>
      <c r="I297" s="260" t="str">
        <f t="shared" si="45"/>
        <v/>
      </c>
    </row>
    <row r="298" spans="2:9">
      <c r="B298" s="77" t="s">
        <v>23</v>
      </c>
      <c r="C298" s="77" t="s">
        <v>162</v>
      </c>
      <c r="D298" s="77" t="s">
        <v>164</v>
      </c>
      <c r="E298" s="70" t="s">
        <v>166</v>
      </c>
      <c r="F298" s="77" t="s">
        <v>169</v>
      </c>
      <c r="G298" s="70" t="s">
        <v>170</v>
      </c>
      <c r="H298" s="76" t="str">
        <f t="shared" si="44"/>
        <v/>
      </c>
      <c r="I298" s="260" t="str">
        <f t="shared" si="45"/>
        <v/>
      </c>
    </row>
    <row r="299" spans="2:9">
      <c r="B299" s="77" t="s">
        <v>23</v>
      </c>
      <c r="C299" s="77" t="s">
        <v>162</v>
      </c>
      <c r="D299" s="77" t="s">
        <v>164</v>
      </c>
      <c r="E299" s="70" t="s">
        <v>166</v>
      </c>
      <c r="F299" s="77" t="s">
        <v>169</v>
      </c>
      <c r="G299" s="70" t="s">
        <v>171</v>
      </c>
      <c r="H299" s="76" t="str">
        <f t="shared" si="44"/>
        <v/>
      </c>
      <c r="I299" s="260" t="str">
        <f t="shared" si="45"/>
        <v/>
      </c>
    </row>
    <row r="300" spans="2:9">
      <c r="B300" s="77" t="s">
        <v>23</v>
      </c>
      <c r="C300" s="77" t="s">
        <v>162</v>
      </c>
      <c r="D300" s="77" t="s">
        <v>164</v>
      </c>
      <c r="E300" s="70" t="s">
        <v>167</v>
      </c>
      <c r="F300" s="77" t="s">
        <v>168</v>
      </c>
      <c r="G300" s="70" t="s">
        <v>170</v>
      </c>
      <c r="H300" s="76" t="str">
        <f t="shared" si="44"/>
        <v/>
      </c>
      <c r="I300" s="260" t="str">
        <f t="shared" si="45"/>
        <v/>
      </c>
    </row>
    <row r="301" spans="2:9">
      <c r="B301" s="77" t="s">
        <v>23</v>
      </c>
      <c r="C301" s="77" t="s">
        <v>162</v>
      </c>
      <c r="D301" s="77" t="s">
        <v>164</v>
      </c>
      <c r="E301" s="70" t="s">
        <v>167</v>
      </c>
      <c r="F301" s="77" t="s">
        <v>168</v>
      </c>
      <c r="G301" s="70" t="s">
        <v>171</v>
      </c>
      <c r="H301" s="76" t="str">
        <f t="shared" si="44"/>
        <v/>
      </c>
      <c r="I301" s="260" t="str">
        <f t="shared" si="45"/>
        <v/>
      </c>
    </row>
    <row r="302" spans="2:9">
      <c r="B302" s="77" t="s">
        <v>23</v>
      </c>
      <c r="C302" s="77" t="s">
        <v>162</v>
      </c>
      <c r="D302" s="77" t="s">
        <v>164</v>
      </c>
      <c r="E302" s="70" t="s">
        <v>167</v>
      </c>
      <c r="F302" s="77" t="s">
        <v>169</v>
      </c>
      <c r="G302" s="70" t="s">
        <v>170</v>
      </c>
      <c r="H302" s="76" t="str">
        <f t="shared" si="44"/>
        <v/>
      </c>
      <c r="I302" s="260" t="str">
        <f t="shared" si="45"/>
        <v/>
      </c>
    </row>
    <row r="303" spans="2:9">
      <c r="B303" s="77" t="s">
        <v>23</v>
      </c>
      <c r="C303" s="77" t="s">
        <v>162</v>
      </c>
      <c r="D303" s="77" t="s">
        <v>164</v>
      </c>
      <c r="E303" s="70" t="s">
        <v>167</v>
      </c>
      <c r="F303" s="77" t="s">
        <v>169</v>
      </c>
      <c r="G303" s="70" t="s">
        <v>171</v>
      </c>
      <c r="H303" s="76" t="str">
        <f t="shared" si="44"/>
        <v/>
      </c>
      <c r="I303" s="260" t="str">
        <f t="shared" si="45"/>
        <v/>
      </c>
    </row>
    <row r="304" spans="2:9">
      <c r="B304" s="77" t="s">
        <v>23</v>
      </c>
      <c r="C304" s="77" t="s">
        <v>162</v>
      </c>
      <c r="D304" s="77" t="s">
        <v>165</v>
      </c>
      <c r="E304" s="70" t="s">
        <v>166</v>
      </c>
      <c r="F304" s="77" t="s">
        <v>168</v>
      </c>
      <c r="G304" s="70" t="s">
        <v>170</v>
      </c>
      <c r="H304" s="76" t="str">
        <f t="shared" ref="H304:H335" si="46">IF(J79="","",J79)</f>
        <v/>
      </c>
      <c r="I304" s="260" t="str">
        <f t="shared" si="45"/>
        <v/>
      </c>
    </row>
    <row r="305" spans="2:9">
      <c r="B305" s="77" t="s">
        <v>23</v>
      </c>
      <c r="C305" s="77" t="s">
        <v>162</v>
      </c>
      <c r="D305" s="77" t="s">
        <v>165</v>
      </c>
      <c r="E305" s="70" t="s">
        <v>166</v>
      </c>
      <c r="F305" s="77" t="s">
        <v>168</v>
      </c>
      <c r="G305" s="70" t="s">
        <v>171</v>
      </c>
      <c r="H305" s="76" t="str">
        <f t="shared" si="46"/>
        <v/>
      </c>
      <c r="I305" s="260" t="str">
        <f t="shared" si="45"/>
        <v/>
      </c>
    </row>
    <row r="306" spans="2:9">
      <c r="B306" s="77" t="s">
        <v>23</v>
      </c>
      <c r="C306" s="77" t="s">
        <v>162</v>
      </c>
      <c r="D306" s="77" t="s">
        <v>165</v>
      </c>
      <c r="E306" s="70" t="s">
        <v>166</v>
      </c>
      <c r="F306" s="77" t="s">
        <v>169</v>
      </c>
      <c r="G306" s="70" t="s">
        <v>170</v>
      </c>
      <c r="H306" s="76" t="str">
        <f t="shared" si="46"/>
        <v/>
      </c>
      <c r="I306" s="260" t="str">
        <f t="shared" si="45"/>
        <v/>
      </c>
    </row>
    <row r="307" spans="2:9">
      <c r="B307" s="77" t="s">
        <v>23</v>
      </c>
      <c r="C307" s="77" t="s">
        <v>162</v>
      </c>
      <c r="D307" s="77" t="s">
        <v>165</v>
      </c>
      <c r="E307" s="70" t="s">
        <v>166</v>
      </c>
      <c r="F307" s="77" t="s">
        <v>169</v>
      </c>
      <c r="G307" s="70" t="s">
        <v>171</v>
      </c>
      <c r="H307" s="76" t="str">
        <f t="shared" si="46"/>
        <v/>
      </c>
      <c r="I307" s="260" t="str">
        <f t="shared" si="45"/>
        <v/>
      </c>
    </row>
    <row r="308" spans="2:9">
      <c r="B308" s="77" t="s">
        <v>23</v>
      </c>
      <c r="C308" s="77" t="s">
        <v>162</v>
      </c>
      <c r="D308" s="77" t="s">
        <v>165</v>
      </c>
      <c r="E308" s="70" t="s">
        <v>167</v>
      </c>
      <c r="F308" s="77" t="s">
        <v>168</v>
      </c>
      <c r="G308" s="70" t="s">
        <v>170</v>
      </c>
      <c r="H308" s="76" t="str">
        <f t="shared" si="46"/>
        <v/>
      </c>
      <c r="I308" s="260" t="str">
        <f t="shared" si="45"/>
        <v/>
      </c>
    </row>
    <row r="309" spans="2:9">
      <c r="B309" s="77" t="s">
        <v>23</v>
      </c>
      <c r="C309" s="77" t="s">
        <v>162</v>
      </c>
      <c r="D309" s="77" t="s">
        <v>165</v>
      </c>
      <c r="E309" s="70" t="s">
        <v>167</v>
      </c>
      <c r="F309" s="77" t="s">
        <v>168</v>
      </c>
      <c r="G309" s="70" t="s">
        <v>171</v>
      </c>
      <c r="H309" s="76" t="str">
        <f t="shared" si="46"/>
        <v/>
      </c>
      <c r="I309" s="260" t="str">
        <f t="shared" si="45"/>
        <v/>
      </c>
    </row>
    <row r="310" spans="2:9">
      <c r="B310" s="77" t="s">
        <v>23</v>
      </c>
      <c r="C310" s="77" t="s">
        <v>162</v>
      </c>
      <c r="D310" s="77" t="s">
        <v>165</v>
      </c>
      <c r="E310" s="70" t="s">
        <v>167</v>
      </c>
      <c r="F310" s="77" t="s">
        <v>169</v>
      </c>
      <c r="G310" s="70" t="s">
        <v>170</v>
      </c>
      <c r="H310" s="76" t="str">
        <f t="shared" si="46"/>
        <v/>
      </c>
      <c r="I310" s="260" t="str">
        <f t="shared" si="45"/>
        <v/>
      </c>
    </row>
    <row r="311" spans="2:9">
      <c r="B311" s="81" t="s">
        <v>23</v>
      </c>
      <c r="C311" s="81" t="s">
        <v>162</v>
      </c>
      <c r="D311" s="81" t="s">
        <v>165</v>
      </c>
      <c r="E311" s="72" t="s">
        <v>167</v>
      </c>
      <c r="F311" s="81" t="s">
        <v>169</v>
      </c>
      <c r="G311" s="72" t="s">
        <v>171</v>
      </c>
      <c r="H311" s="118" t="str">
        <f t="shared" si="46"/>
        <v/>
      </c>
      <c r="I311" s="262" t="str">
        <f t="shared" si="45"/>
        <v/>
      </c>
    </row>
    <row r="312" spans="2:9">
      <c r="B312" s="75" t="s">
        <v>24</v>
      </c>
      <c r="C312" s="76" t="s">
        <v>160</v>
      </c>
      <c r="D312" s="76" t="s">
        <v>163</v>
      </c>
      <c r="E312" s="65" t="s">
        <v>166</v>
      </c>
      <c r="F312" s="76" t="s">
        <v>168</v>
      </c>
      <c r="G312" s="66" t="s">
        <v>170</v>
      </c>
      <c r="H312" s="76" t="str">
        <f t="shared" ref="H312:H343" si="47">IF(K15="","",K15)</f>
        <v/>
      </c>
      <c r="I312" s="261" t="str">
        <f t="shared" si="45"/>
        <v/>
      </c>
    </row>
    <row r="313" spans="2:9">
      <c r="B313" s="76" t="s">
        <v>24</v>
      </c>
      <c r="C313" s="76" t="s">
        <v>160</v>
      </c>
      <c r="D313" s="76" t="s">
        <v>163</v>
      </c>
      <c r="E313" s="65" t="s">
        <v>166</v>
      </c>
      <c r="F313" s="76" t="s">
        <v>168</v>
      </c>
      <c r="G313" s="66" t="s">
        <v>171</v>
      </c>
      <c r="H313" s="76" t="str">
        <f t="shared" si="47"/>
        <v/>
      </c>
      <c r="I313" s="260" t="str">
        <f t="shared" si="45"/>
        <v/>
      </c>
    </row>
    <row r="314" spans="2:9">
      <c r="B314" s="76" t="s">
        <v>24</v>
      </c>
      <c r="C314" s="76" t="s">
        <v>160</v>
      </c>
      <c r="D314" s="76" t="s">
        <v>163</v>
      </c>
      <c r="E314" s="65" t="s">
        <v>166</v>
      </c>
      <c r="F314" s="76" t="s">
        <v>169</v>
      </c>
      <c r="G314" s="66" t="s">
        <v>170</v>
      </c>
      <c r="H314" s="76" t="str">
        <f t="shared" si="47"/>
        <v/>
      </c>
      <c r="I314" s="260" t="str">
        <f t="shared" si="45"/>
        <v/>
      </c>
    </row>
    <row r="315" spans="2:9">
      <c r="B315" s="76" t="s">
        <v>24</v>
      </c>
      <c r="C315" s="76" t="s">
        <v>160</v>
      </c>
      <c r="D315" s="76" t="s">
        <v>163</v>
      </c>
      <c r="E315" s="65" t="s">
        <v>166</v>
      </c>
      <c r="F315" s="76" t="s">
        <v>169</v>
      </c>
      <c r="G315" s="66" t="s">
        <v>171</v>
      </c>
      <c r="H315" s="76" t="str">
        <f t="shared" si="47"/>
        <v/>
      </c>
      <c r="I315" s="260" t="str">
        <f t="shared" si="45"/>
        <v/>
      </c>
    </row>
    <row r="316" spans="2:9">
      <c r="B316" s="76" t="s">
        <v>24</v>
      </c>
      <c r="C316" s="76" t="s">
        <v>160</v>
      </c>
      <c r="D316" s="76" t="s">
        <v>163</v>
      </c>
      <c r="E316" s="65" t="s">
        <v>167</v>
      </c>
      <c r="F316" s="76" t="s">
        <v>168</v>
      </c>
      <c r="G316" s="66" t="s">
        <v>170</v>
      </c>
      <c r="H316" s="76" t="str">
        <f t="shared" si="47"/>
        <v/>
      </c>
      <c r="I316" s="260" t="str">
        <f t="shared" si="45"/>
        <v/>
      </c>
    </row>
    <row r="317" spans="2:9">
      <c r="B317" s="76" t="s">
        <v>24</v>
      </c>
      <c r="C317" s="76" t="s">
        <v>160</v>
      </c>
      <c r="D317" s="76" t="s">
        <v>163</v>
      </c>
      <c r="E317" s="65" t="s">
        <v>167</v>
      </c>
      <c r="F317" s="76" t="s">
        <v>168</v>
      </c>
      <c r="G317" s="66" t="s">
        <v>171</v>
      </c>
      <c r="H317" s="76" t="str">
        <f t="shared" si="47"/>
        <v/>
      </c>
      <c r="I317" s="260" t="str">
        <f t="shared" si="45"/>
        <v/>
      </c>
    </row>
    <row r="318" spans="2:9">
      <c r="B318" s="76" t="s">
        <v>24</v>
      </c>
      <c r="C318" s="76" t="s">
        <v>160</v>
      </c>
      <c r="D318" s="76" t="s">
        <v>163</v>
      </c>
      <c r="E318" s="65" t="s">
        <v>167</v>
      </c>
      <c r="F318" s="76" t="s">
        <v>169</v>
      </c>
      <c r="G318" s="66" t="s">
        <v>170</v>
      </c>
      <c r="H318" s="76" t="str">
        <f t="shared" si="47"/>
        <v/>
      </c>
      <c r="I318" s="260" t="str">
        <f t="shared" si="45"/>
        <v/>
      </c>
    </row>
    <row r="319" spans="2:9">
      <c r="B319" s="76" t="s">
        <v>24</v>
      </c>
      <c r="C319" s="76" t="s">
        <v>160</v>
      </c>
      <c r="D319" s="76" t="s">
        <v>163</v>
      </c>
      <c r="E319" s="65" t="s">
        <v>167</v>
      </c>
      <c r="F319" s="76" t="s">
        <v>169</v>
      </c>
      <c r="G319" s="66" t="s">
        <v>171</v>
      </c>
      <c r="H319" s="76" t="str">
        <f t="shared" si="47"/>
        <v/>
      </c>
      <c r="I319" s="260" t="str">
        <f t="shared" si="45"/>
        <v/>
      </c>
    </row>
    <row r="320" spans="2:9">
      <c r="B320" s="76" t="s">
        <v>24</v>
      </c>
      <c r="C320" s="76" t="s">
        <v>160</v>
      </c>
      <c r="D320" s="76" t="s">
        <v>164</v>
      </c>
      <c r="E320" s="65" t="s">
        <v>166</v>
      </c>
      <c r="F320" s="76" t="s">
        <v>168</v>
      </c>
      <c r="G320" s="66" t="s">
        <v>170</v>
      </c>
      <c r="H320" s="76" t="str">
        <f t="shared" si="47"/>
        <v/>
      </c>
      <c r="I320" s="260" t="str">
        <f t="shared" si="45"/>
        <v/>
      </c>
    </row>
    <row r="321" spans="2:9">
      <c r="B321" s="76" t="s">
        <v>24</v>
      </c>
      <c r="C321" s="76" t="s">
        <v>160</v>
      </c>
      <c r="D321" s="76" t="s">
        <v>164</v>
      </c>
      <c r="E321" s="65" t="s">
        <v>166</v>
      </c>
      <c r="F321" s="76" t="s">
        <v>168</v>
      </c>
      <c r="G321" s="66" t="s">
        <v>171</v>
      </c>
      <c r="H321" s="76" t="str">
        <f t="shared" si="47"/>
        <v/>
      </c>
      <c r="I321" s="260" t="str">
        <f t="shared" si="45"/>
        <v/>
      </c>
    </row>
    <row r="322" spans="2:9">
      <c r="B322" s="76" t="s">
        <v>24</v>
      </c>
      <c r="C322" s="76" t="s">
        <v>160</v>
      </c>
      <c r="D322" s="76" t="s">
        <v>164</v>
      </c>
      <c r="E322" s="65" t="s">
        <v>166</v>
      </c>
      <c r="F322" s="76" t="s">
        <v>169</v>
      </c>
      <c r="G322" s="66" t="s">
        <v>170</v>
      </c>
      <c r="H322" s="76" t="str">
        <f t="shared" si="47"/>
        <v/>
      </c>
      <c r="I322" s="260" t="str">
        <f t="shared" si="45"/>
        <v/>
      </c>
    </row>
    <row r="323" spans="2:9">
      <c r="B323" s="76" t="s">
        <v>24</v>
      </c>
      <c r="C323" s="76" t="s">
        <v>160</v>
      </c>
      <c r="D323" s="76" t="s">
        <v>164</v>
      </c>
      <c r="E323" s="65" t="s">
        <v>166</v>
      </c>
      <c r="F323" s="76" t="s">
        <v>169</v>
      </c>
      <c r="G323" s="66" t="s">
        <v>171</v>
      </c>
      <c r="H323" s="76" t="str">
        <f t="shared" si="47"/>
        <v/>
      </c>
      <c r="I323" s="260" t="str">
        <f t="shared" si="45"/>
        <v/>
      </c>
    </row>
    <row r="324" spans="2:9">
      <c r="B324" s="76" t="s">
        <v>24</v>
      </c>
      <c r="C324" s="76" t="s">
        <v>160</v>
      </c>
      <c r="D324" s="76" t="s">
        <v>164</v>
      </c>
      <c r="E324" s="65" t="s">
        <v>167</v>
      </c>
      <c r="F324" s="76" t="s">
        <v>168</v>
      </c>
      <c r="G324" s="66" t="s">
        <v>170</v>
      </c>
      <c r="H324" s="76" t="str">
        <f t="shared" si="47"/>
        <v/>
      </c>
      <c r="I324" s="260" t="str">
        <f t="shared" si="45"/>
        <v/>
      </c>
    </row>
    <row r="325" spans="2:9">
      <c r="B325" s="76" t="s">
        <v>24</v>
      </c>
      <c r="C325" s="76" t="s">
        <v>160</v>
      </c>
      <c r="D325" s="76" t="s">
        <v>164</v>
      </c>
      <c r="E325" s="65" t="s">
        <v>167</v>
      </c>
      <c r="F325" s="76" t="s">
        <v>168</v>
      </c>
      <c r="G325" s="66" t="s">
        <v>171</v>
      </c>
      <c r="H325" s="76" t="str">
        <f t="shared" si="47"/>
        <v/>
      </c>
      <c r="I325" s="260" t="str">
        <f t="shared" si="45"/>
        <v/>
      </c>
    </row>
    <row r="326" spans="2:9">
      <c r="B326" s="76" t="s">
        <v>24</v>
      </c>
      <c r="C326" s="76" t="s">
        <v>160</v>
      </c>
      <c r="D326" s="76" t="s">
        <v>164</v>
      </c>
      <c r="E326" s="65" t="s">
        <v>167</v>
      </c>
      <c r="F326" s="76" t="s">
        <v>169</v>
      </c>
      <c r="G326" s="66" t="s">
        <v>170</v>
      </c>
      <c r="H326" s="76" t="str">
        <f t="shared" si="47"/>
        <v/>
      </c>
      <c r="I326" s="260" t="str">
        <f t="shared" si="45"/>
        <v/>
      </c>
    </row>
    <row r="327" spans="2:9">
      <c r="B327" s="76" t="s">
        <v>24</v>
      </c>
      <c r="C327" s="76" t="s">
        <v>160</v>
      </c>
      <c r="D327" s="76" t="s">
        <v>164</v>
      </c>
      <c r="E327" s="65" t="s">
        <v>167</v>
      </c>
      <c r="F327" s="76" t="s">
        <v>169</v>
      </c>
      <c r="G327" s="66" t="s">
        <v>171</v>
      </c>
      <c r="H327" s="76" t="str">
        <f t="shared" si="47"/>
        <v/>
      </c>
      <c r="I327" s="260" t="str">
        <f t="shared" si="45"/>
        <v/>
      </c>
    </row>
    <row r="328" spans="2:9">
      <c r="B328" s="76" t="s">
        <v>24</v>
      </c>
      <c r="C328" s="76" t="s">
        <v>160</v>
      </c>
      <c r="D328" s="76" t="s">
        <v>165</v>
      </c>
      <c r="E328" s="65" t="s">
        <v>166</v>
      </c>
      <c r="F328" s="76" t="s">
        <v>168</v>
      </c>
      <c r="G328" s="66" t="s">
        <v>170</v>
      </c>
      <c r="H328" s="76" t="str">
        <f t="shared" si="47"/>
        <v/>
      </c>
      <c r="I328" s="260" t="str">
        <f t="shared" si="45"/>
        <v/>
      </c>
    </row>
    <row r="329" spans="2:9">
      <c r="B329" s="76" t="s">
        <v>24</v>
      </c>
      <c r="C329" s="76" t="s">
        <v>160</v>
      </c>
      <c r="D329" s="76" t="s">
        <v>165</v>
      </c>
      <c r="E329" s="65" t="s">
        <v>166</v>
      </c>
      <c r="F329" s="76" t="s">
        <v>168</v>
      </c>
      <c r="G329" s="65" t="s">
        <v>171</v>
      </c>
      <c r="H329" s="76" t="str">
        <f t="shared" si="47"/>
        <v/>
      </c>
      <c r="I329" s="260" t="str">
        <f t="shared" si="45"/>
        <v/>
      </c>
    </row>
    <row r="330" spans="2:9">
      <c r="B330" s="76" t="s">
        <v>24</v>
      </c>
      <c r="C330" s="76" t="s">
        <v>160</v>
      </c>
      <c r="D330" s="76" t="s">
        <v>165</v>
      </c>
      <c r="E330" s="65" t="s">
        <v>166</v>
      </c>
      <c r="F330" s="77" t="s">
        <v>169</v>
      </c>
      <c r="G330" s="65" t="s">
        <v>170</v>
      </c>
      <c r="H330" s="76" t="str">
        <f t="shared" si="47"/>
        <v/>
      </c>
      <c r="I330" s="260" t="str">
        <f t="shared" si="45"/>
        <v/>
      </c>
    </row>
    <row r="331" spans="2:9">
      <c r="B331" s="76" t="s">
        <v>24</v>
      </c>
      <c r="C331" s="76" t="s">
        <v>160</v>
      </c>
      <c r="D331" s="76" t="s">
        <v>165</v>
      </c>
      <c r="E331" s="65" t="s">
        <v>166</v>
      </c>
      <c r="F331" s="77" t="s">
        <v>169</v>
      </c>
      <c r="G331" s="65" t="s">
        <v>171</v>
      </c>
      <c r="H331" s="76" t="str">
        <f t="shared" si="47"/>
        <v/>
      </c>
      <c r="I331" s="260" t="str">
        <f t="shared" si="45"/>
        <v/>
      </c>
    </row>
    <row r="332" spans="2:9">
      <c r="B332" s="76" t="s">
        <v>24</v>
      </c>
      <c r="C332" s="76" t="s">
        <v>160</v>
      </c>
      <c r="D332" s="76" t="s">
        <v>165</v>
      </c>
      <c r="E332" s="65" t="s">
        <v>167</v>
      </c>
      <c r="F332" s="77" t="s">
        <v>168</v>
      </c>
      <c r="G332" s="65" t="s">
        <v>170</v>
      </c>
      <c r="H332" s="76" t="str">
        <f t="shared" si="47"/>
        <v/>
      </c>
      <c r="I332" s="260" t="str">
        <f t="shared" si="45"/>
        <v/>
      </c>
    </row>
    <row r="333" spans="2:9">
      <c r="B333" s="76" t="s">
        <v>24</v>
      </c>
      <c r="C333" s="76" t="s">
        <v>160</v>
      </c>
      <c r="D333" s="76" t="s">
        <v>165</v>
      </c>
      <c r="E333" s="65" t="s">
        <v>167</v>
      </c>
      <c r="F333" s="77" t="s">
        <v>168</v>
      </c>
      <c r="G333" s="65" t="s">
        <v>171</v>
      </c>
      <c r="H333" s="76" t="str">
        <f t="shared" si="47"/>
        <v/>
      </c>
      <c r="I333" s="260" t="str">
        <f t="shared" si="45"/>
        <v/>
      </c>
    </row>
    <row r="334" spans="2:9">
      <c r="B334" s="76" t="s">
        <v>24</v>
      </c>
      <c r="C334" s="76" t="s">
        <v>160</v>
      </c>
      <c r="D334" s="76" t="s">
        <v>165</v>
      </c>
      <c r="E334" s="65" t="s">
        <v>167</v>
      </c>
      <c r="F334" s="77" t="s">
        <v>169</v>
      </c>
      <c r="G334" s="65" t="s">
        <v>170</v>
      </c>
      <c r="H334" s="76" t="str">
        <f t="shared" si="47"/>
        <v/>
      </c>
      <c r="I334" s="260" t="str">
        <f t="shared" si="45"/>
        <v/>
      </c>
    </row>
    <row r="335" spans="2:9">
      <c r="B335" s="76" t="s">
        <v>24</v>
      </c>
      <c r="C335" s="76" t="s">
        <v>160</v>
      </c>
      <c r="D335" s="76" t="s">
        <v>165</v>
      </c>
      <c r="E335" s="65" t="s">
        <v>167</v>
      </c>
      <c r="F335" s="77" t="s">
        <v>169</v>
      </c>
      <c r="G335" s="65" t="s">
        <v>171</v>
      </c>
      <c r="H335" s="76" t="str">
        <f t="shared" si="47"/>
        <v/>
      </c>
      <c r="I335" s="260" t="str">
        <f t="shared" si="45"/>
        <v/>
      </c>
    </row>
    <row r="336" spans="2:9">
      <c r="B336" s="76" t="s">
        <v>24</v>
      </c>
      <c r="C336" s="76" t="s">
        <v>161</v>
      </c>
      <c r="D336" s="76" t="s">
        <v>163</v>
      </c>
      <c r="E336" s="65" t="s">
        <v>166</v>
      </c>
      <c r="F336" s="77" t="s">
        <v>168</v>
      </c>
      <c r="G336" s="65" t="s">
        <v>170</v>
      </c>
      <c r="H336" s="76" t="str">
        <f t="shared" si="47"/>
        <v/>
      </c>
      <c r="I336" s="260" t="str">
        <f t="shared" si="45"/>
        <v/>
      </c>
    </row>
    <row r="337" spans="2:9">
      <c r="B337" s="76" t="s">
        <v>24</v>
      </c>
      <c r="C337" s="76" t="s">
        <v>161</v>
      </c>
      <c r="D337" s="76" t="s">
        <v>163</v>
      </c>
      <c r="E337" s="65" t="s">
        <v>166</v>
      </c>
      <c r="F337" s="77" t="s">
        <v>168</v>
      </c>
      <c r="G337" s="65" t="s">
        <v>171</v>
      </c>
      <c r="H337" s="76" t="str">
        <f t="shared" si="47"/>
        <v/>
      </c>
      <c r="I337" s="260" t="str">
        <f t="shared" si="45"/>
        <v/>
      </c>
    </row>
    <row r="338" spans="2:9">
      <c r="B338" s="76" t="s">
        <v>24</v>
      </c>
      <c r="C338" s="76" t="s">
        <v>161</v>
      </c>
      <c r="D338" s="77" t="s">
        <v>163</v>
      </c>
      <c r="E338" s="65" t="s">
        <v>166</v>
      </c>
      <c r="F338" s="77" t="s">
        <v>169</v>
      </c>
      <c r="G338" s="65" t="s">
        <v>170</v>
      </c>
      <c r="H338" s="76" t="str">
        <f t="shared" si="47"/>
        <v/>
      </c>
      <c r="I338" s="260" t="str">
        <f t="shared" si="45"/>
        <v/>
      </c>
    </row>
    <row r="339" spans="2:9">
      <c r="B339" s="77" t="s">
        <v>24</v>
      </c>
      <c r="C339" s="77" t="s">
        <v>161</v>
      </c>
      <c r="D339" s="77" t="s">
        <v>163</v>
      </c>
      <c r="E339" s="65" t="s">
        <v>166</v>
      </c>
      <c r="F339" s="77" t="s">
        <v>169</v>
      </c>
      <c r="G339" s="65" t="s">
        <v>171</v>
      </c>
      <c r="H339" s="76" t="str">
        <f t="shared" si="47"/>
        <v/>
      </c>
      <c r="I339" s="260" t="str">
        <f t="shared" si="45"/>
        <v/>
      </c>
    </row>
    <row r="340" spans="2:9">
      <c r="B340" s="77" t="s">
        <v>24</v>
      </c>
      <c r="C340" s="77" t="s">
        <v>161</v>
      </c>
      <c r="D340" s="77" t="s">
        <v>163</v>
      </c>
      <c r="E340" s="65" t="s">
        <v>167</v>
      </c>
      <c r="F340" s="77" t="s">
        <v>168</v>
      </c>
      <c r="G340" s="65" t="s">
        <v>170</v>
      </c>
      <c r="H340" s="76" t="str">
        <f t="shared" si="47"/>
        <v/>
      </c>
      <c r="I340" s="260" t="str">
        <f t="shared" si="45"/>
        <v/>
      </c>
    </row>
    <row r="341" spans="2:9">
      <c r="B341" s="78" t="s">
        <v>24</v>
      </c>
      <c r="C341" s="78" t="s">
        <v>161</v>
      </c>
      <c r="D341" s="78" t="s">
        <v>163</v>
      </c>
      <c r="E341" s="71" t="s">
        <v>167</v>
      </c>
      <c r="F341" s="78" t="s">
        <v>168</v>
      </c>
      <c r="G341" s="71" t="s">
        <v>171</v>
      </c>
      <c r="H341" s="164" t="str">
        <f t="shared" si="47"/>
        <v/>
      </c>
      <c r="I341" s="260" t="str">
        <f t="shared" si="45"/>
        <v/>
      </c>
    </row>
    <row r="342" spans="2:9">
      <c r="B342" s="76" t="s">
        <v>24</v>
      </c>
      <c r="C342" s="76" t="s">
        <v>161</v>
      </c>
      <c r="D342" s="82" t="s">
        <v>163</v>
      </c>
      <c r="E342" s="68" t="s">
        <v>167</v>
      </c>
      <c r="F342" s="79" t="s">
        <v>169</v>
      </c>
      <c r="G342" s="69" t="s">
        <v>170</v>
      </c>
      <c r="H342" s="76" t="str">
        <f t="shared" si="47"/>
        <v/>
      </c>
      <c r="I342" s="260" t="str">
        <f t="shared" si="45"/>
        <v/>
      </c>
    </row>
    <row r="343" spans="2:9">
      <c r="B343" s="76" t="s">
        <v>24</v>
      </c>
      <c r="C343" s="76" t="s">
        <v>161</v>
      </c>
      <c r="D343" s="82" t="s">
        <v>163</v>
      </c>
      <c r="E343" s="68" t="s">
        <v>167</v>
      </c>
      <c r="F343" s="79" t="s">
        <v>169</v>
      </c>
      <c r="G343" s="69" t="s">
        <v>171</v>
      </c>
      <c r="H343" s="76" t="str">
        <f t="shared" si="47"/>
        <v/>
      </c>
      <c r="I343" s="260" t="str">
        <f t="shared" si="45"/>
        <v/>
      </c>
    </row>
    <row r="344" spans="2:9">
      <c r="B344" s="76" t="s">
        <v>24</v>
      </c>
      <c r="C344" s="76" t="s">
        <v>161</v>
      </c>
      <c r="D344" s="82" t="s">
        <v>164</v>
      </c>
      <c r="E344" s="68" t="s">
        <v>166</v>
      </c>
      <c r="F344" s="79" t="s">
        <v>168</v>
      </c>
      <c r="G344" s="69" t="s">
        <v>170</v>
      </c>
      <c r="H344" s="76" t="str">
        <f t="shared" ref="H344:H375" si="48">IF(K47="","",K47)</f>
        <v/>
      </c>
      <c r="I344" s="260" t="str">
        <f t="shared" si="45"/>
        <v/>
      </c>
    </row>
    <row r="345" spans="2:9">
      <c r="B345" s="76" t="s">
        <v>24</v>
      </c>
      <c r="C345" s="76" t="s">
        <v>161</v>
      </c>
      <c r="D345" s="82" t="s">
        <v>164</v>
      </c>
      <c r="E345" s="68" t="s">
        <v>166</v>
      </c>
      <c r="F345" s="79" t="s">
        <v>168</v>
      </c>
      <c r="G345" s="69" t="s">
        <v>171</v>
      </c>
      <c r="H345" s="76" t="str">
        <f t="shared" si="48"/>
        <v/>
      </c>
      <c r="I345" s="260" t="str">
        <f t="shared" si="45"/>
        <v/>
      </c>
    </row>
    <row r="346" spans="2:9">
      <c r="B346" s="76" t="s">
        <v>24</v>
      </c>
      <c r="C346" s="76" t="s">
        <v>161</v>
      </c>
      <c r="D346" s="82" t="s">
        <v>164</v>
      </c>
      <c r="E346" s="68" t="s">
        <v>166</v>
      </c>
      <c r="F346" s="79" t="s">
        <v>169</v>
      </c>
      <c r="G346" s="69" t="s">
        <v>170</v>
      </c>
      <c r="H346" s="76" t="str">
        <f t="shared" si="48"/>
        <v/>
      </c>
      <c r="I346" s="260" t="str">
        <f t="shared" si="45"/>
        <v/>
      </c>
    </row>
    <row r="347" spans="2:9">
      <c r="B347" s="84" t="s">
        <v>24</v>
      </c>
      <c r="C347" s="84" t="s">
        <v>161</v>
      </c>
      <c r="D347" s="83" t="s">
        <v>164</v>
      </c>
      <c r="E347" s="73" t="s">
        <v>166</v>
      </c>
      <c r="F347" s="80" t="s">
        <v>169</v>
      </c>
      <c r="G347" s="74" t="s">
        <v>171</v>
      </c>
      <c r="H347" s="84" t="str">
        <f t="shared" si="48"/>
        <v/>
      </c>
      <c r="I347" s="260" t="str">
        <f t="shared" si="45"/>
        <v/>
      </c>
    </row>
    <row r="348" spans="2:9">
      <c r="B348" s="84" t="s">
        <v>24</v>
      </c>
      <c r="C348" s="84" t="s">
        <v>161</v>
      </c>
      <c r="D348" s="83" t="s">
        <v>164</v>
      </c>
      <c r="E348" s="73" t="s">
        <v>167</v>
      </c>
      <c r="F348" s="80" t="s">
        <v>168</v>
      </c>
      <c r="G348" s="74" t="s">
        <v>170</v>
      </c>
      <c r="H348" s="84" t="str">
        <f t="shared" si="48"/>
        <v/>
      </c>
      <c r="I348" s="260" t="str">
        <f t="shared" si="45"/>
        <v/>
      </c>
    </row>
    <row r="349" spans="2:9">
      <c r="B349" s="84" t="s">
        <v>24</v>
      </c>
      <c r="C349" s="84" t="s">
        <v>161</v>
      </c>
      <c r="D349" s="83" t="s">
        <v>164</v>
      </c>
      <c r="E349" s="73" t="s">
        <v>167</v>
      </c>
      <c r="F349" s="80" t="s">
        <v>168</v>
      </c>
      <c r="G349" s="74" t="s">
        <v>171</v>
      </c>
      <c r="H349" s="84" t="str">
        <f t="shared" si="48"/>
        <v/>
      </c>
      <c r="I349" s="260" t="str">
        <f t="shared" si="45"/>
        <v/>
      </c>
    </row>
    <row r="350" spans="2:9">
      <c r="B350" s="84" t="s">
        <v>24</v>
      </c>
      <c r="C350" s="84" t="s">
        <v>161</v>
      </c>
      <c r="D350" s="83" t="s">
        <v>164</v>
      </c>
      <c r="E350" s="73" t="s">
        <v>167</v>
      </c>
      <c r="F350" s="80" t="s">
        <v>169</v>
      </c>
      <c r="G350" s="74" t="s">
        <v>170</v>
      </c>
      <c r="H350" s="84" t="str">
        <f t="shared" si="48"/>
        <v/>
      </c>
      <c r="I350" s="260" t="str">
        <f t="shared" si="45"/>
        <v/>
      </c>
    </row>
    <row r="351" spans="2:9">
      <c r="B351" s="84" t="s">
        <v>24</v>
      </c>
      <c r="C351" s="84" t="s">
        <v>161</v>
      </c>
      <c r="D351" s="83" t="s">
        <v>164</v>
      </c>
      <c r="E351" s="73" t="s">
        <v>167</v>
      </c>
      <c r="F351" s="80" t="s">
        <v>169</v>
      </c>
      <c r="G351" s="74" t="s">
        <v>171</v>
      </c>
      <c r="H351" s="84" t="str">
        <f t="shared" si="48"/>
        <v/>
      </c>
      <c r="I351" s="260" t="str">
        <f t="shared" si="45"/>
        <v/>
      </c>
    </row>
    <row r="352" spans="2:9">
      <c r="B352" s="84" t="s">
        <v>24</v>
      </c>
      <c r="C352" s="84" t="s">
        <v>161</v>
      </c>
      <c r="D352" s="83" t="s">
        <v>165</v>
      </c>
      <c r="E352" s="73" t="s">
        <v>166</v>
      </c>
      <c r="F352" s="80" t="s">
        <v>168</v>
      </c>
      <c r="G352" s="74" t="s">
        <v>170</v>
      </c>
      <c r="H352" s="84" t="str">
        <f t="shared" si="48"/>
        <v/>
      </c>
      <c r="I352" s="260" t="str">
        <f t="shared" ref="I352:I415" si="49">IF(H352="","",CONCATENATE(C352,"_",D352,"_",E352,"_",F352,"_",G352))</f>
        <v/>
      </c>
    </row>
    <row r="353" spans="2:9">
      <c r="B353" s="84" t="s">
        <v>24</v>
      </c>
      <c r="C353" s="84" t="s">
        <v>161</v>
      </c>
      <c r="D353" s="83" t="s">
        <v>165</v>
      </c>
      <c r="E353" s="73" t="s">
        <v>166</v>
      </c>
      <c r="F353" s="80" t="s">
        <v>168</v>
      </c>
      <c r="G353" s="74" t="s">
        <v>171</v>
      </c>
      <c r="H353" s="84" t="str">
        <f t="shared" si="48"/>
        <v/>
      </c>
      <c r="I353" s="260" t="str">
        <f t="shared" si="49"/>
        <v/>
      </c>
    </row>
    <row r="354" spans="2:9">
      <c r="B354" s="84" t="s">
        <v>24</v>
      </c>
      <c r="C354" s="84" t="s">
        <v>161</v>
      </c>
      <c r="D354" s="83" t="s">
        <v>165</v>
      </c>
      <c r="E354" s="73" t="s">
        <v>166</v>
      </c>
      <c r="F354" s="80" t="s">
        <v>169</v>
      </c>
      <c r="G354" s="74" t="s">
        <v>170</v>
      </c>
      <c r="H354" s="84" t="str">
        <f t="shared" si="48"/>
        <v/>
      </c>
      <c r="I354" s="260" t="str">
        <f t="shared" si="49"/>
        <v/>
      </c>
    </row>
    <row r="355" spans="2:9">
      <c r="B355" s="84" t="s">
        <v>24</v>
      </c>
      <c r="C355" s="84" t="s">
        <v>161</v>
      </c>
      <c r="D355" s="83" t="s">
        <v>165</v>
      </c>
      <c r="E355" s="73" t="s">
        <v>166</v>
      </c>
      <c r="F355" s="80" t="s">
        <v>169</v>
      </c>
      <c r="G355" s="74" t="s">
        <v>171</v>
      </c>
      <c r="H355" s="84" t="str">
        <f t="shared" si="48"/>
        <v/>
      </c>
      <c r="I355" s="260" t="str">
        <f t="shared" si="49"/>
        <v/>
      </c>
    </row>
    <row r="356" spans="2:9">
      <c r="B356" s="84" t="s">
        <v>24</v>
      </c>
      <c r="C356" s="84" t="s">
        <v>161</v>
      </c>
      <c r="D356" s="83" t="s">
        <v>165</v>
      </c>
      <c r="E356" s="73" t="s">
        <v>167</v>
      </c>
      <c r="F356" s="80" t="s">
        <v>168</v>
      </c>
      <c r="G356" s="74" t="s">
        <v>170</v>
      </c>
      <c r="H356" s="84" t="str">
        <f t="shared" si="48"/>
        <v/>
      </c>
      <c r="I356" s="260" t="str">
        <f t="shared" si="49"/>
        <v/>
      </c>
    </row>
    <row r="357" spans="2:9">
      <c r="B357" s="76" t="s">
        <v>24</v>
      </c>
      <c r="C357" s="76" t="s">
        <v>161</v>
      </c>
      <c r="D357" s="82" t="s">
        <v>165</v>
      </c>
      <c r="E357" s="68" t="s">
        <v>167</v>
      </c>
      <c r="F357" s="77" t="s">
        <v>168</v>
      </c>
      <c r="G357" s="65" t="s">
        <v>171</v>
      </c>
      <c r="H357" s="76" t="str">
        <f t="shared" si="48"/>
        <v/>
      </c>
      <c r="I357" s="260" t="str">
        <f t="shared" si="49"/>
        <v/>
      </c>
    </row>
    <row r="358" spans="2:9">
      <c r="B358" s="76" t="s">
        <v>24</v>
      </c>
      <c r="C358" s="76" t="s">
        <v>161</v>
      </c>
      <c r="D358" s="82" t="s">
        <v>165</v>
      </c>
      <c r="E358" s="68" t="s">
        <v>167</v>
      </c>
      <c r="F358" s="77" t="s">
        <v>169</v>
      </c>
      <c r="G358" s="65" t="s">
        <v>170</v>
      </c>
      <c r="H358" s="76" t="str">
        <f t="shared" si="48"/>
        <v/>
      </c>
      <c r="I358" s="260" t="str">
        <f t="shared" si="49"/>
        <v/>
      </c>
    </row>
    <row r="359" spans="2:9">
      <c r="B359" s="77" t="s">
        <v>24</v>
      </c>
      <c r="C359" s="77" t="s">
        <v>161</v>
      </c>
      <c r="D359" s="77" t="s">
        <v>165</v>
      </c>
      <c r="E359" s="65" t="s">
        <v>167</v>
      </c>
      <c r="F359" s="77" t="s">
        <v>169</v>
      </c>
      <c r="G359" s="65" t="s">
        <v>171</v>
      </c>
      <c r="H359" s="76" t="str">
        <f t="shared" si="48"/>
        <v/>
      </c>
      <c r="I359" s="260" t="str">
        <f t="shared" si="49"/>
        <v/>
      </c>
    </row>
    <row r="360" spans="2:9">
      <c r="B360" s="77" t="s">
        <v>24</v>
      </c>
      <c r="C360" s="77" t="s">
        <v>162</v>
      </c>
      <c r="D360" s="77" t="s">
        <v>163</v>
      </c>
      <c r="E360" s="70" t="s">
        <v>166</v>
      </c>
      <c r="F360" s="77" t="s">
        <v>168</v>
      </c>
      <c r="G360" s="70" t="s">
        <v>170</v>
      </c>
      <c r="H360" s="76" t="str">
        <f t="shared" si="48"/>
        <v/>
      </c>
      <c r="I360" s="260" t="str">
        <f t="shared" si="49"/>
        <v/>
      </c>
    </row>
    <row r="361" spans="2:9">
      <c r="B361" s="77" t="s">
        <v>24</v>
      </c>
      <c r="C361" s="77" t="s">
        <v>162</v>
      </c>
      <c r="D361" s="77" t="s">
        <v>163</v>
      </c>
      <c r="E361" s="70" t="s">
        <v>166</v>
      </c>
      <c r="F361" s="77" t="s">
        <v>168</v>
      </c>
      <c r="G361" s="70" t="s">
        <v>171</v>
      </c>
      <c r="H361" s="76" t="str">
        <f t="shared" si="48"/>
        <v/>
      </c>
      <c r="I361" s="260" t="str">
        <f t="shared" si="49"/>
        <v/>
      </c>
    </row>
    <row r="362" spans="2:9">
      <c r="B362" s="77" t="s">
        <v>24</v>
      </c>
      <c r="C362" s="77" t="s">
        <v>162</v>
      </c>
      <c r="D362" s="77" t="s">
        <v>163</v>
      </c>
      <c r="E362" s="70" t="s">
        <v>166</v>
      </c>
      <c r="F362" s="77" t="s">
        <v>169</v>
      </c>
      <c r="G362" s="70" t="s">
        <v>170</v>
      </c>
      <c r="H362" s="76" t="str">
        <f t="shared" si="48"/>
        <v/>
      </c>
      <c r="I362" s="260" t="str">
        <f t="shared" si="49"/>
        <v/>
      </c>
    </row>
    <row r="363" spans="2:9">
      <c r="B363" s="77" t="s">
        <v>24</v>
      </c>
      <c r="C363" s="77" t="s">
        <v>162</v>
      </c>
      <c r="D363" s="77" t="s">
        <v>163</v>
      </c>
      <c r="E363" s="70" t="s">
        <v>166</v>
      </c>
      <c r="F363" s="77" t="s">
        <v>169</v>
      </c>
      <c r="G363" s="70" t="s">
        <v>171</v>
      </c>
      <c r="H363" s="76" t="str">
        <f t="shared" si="48"/>
        <v/>
      </c>
      <c r="I363" s="260" t="str">
        <f t="shared" si="49"/>
        <v/>
      </c>
    </row>
    <row r="364" spans="2:9">
      <c r="B364" s="77" t="s">
        <v>24</v>
      </c>
      <c r="C364" s="77" t="s">
        <v>162</v>
      </c>
      <c r="D364" s="77" t="s">
        <v>163</v>
      </c>
      <c r="E364" s="70" t="s">
        <v>167</v>
      </c>
      <c r="F364" s="77" t="s">
        <v>168</v>
      </c>
      <c r="G364" s="70" t="s">
        <v>170</v>
      </c>
      <c r="H364" s="76" t="str">
        <f t="shared" si="48"/>
        <v/>
      </c>
      <c r="I364" s="260" t="str">
        <f t="shared" si="49"/>
        <v/>
      </c>
    </row>
    <row r="365" spans="2:9">
      <c r="B365" s="77" t="s">
        <v>24</v>
      </c>
      <c r="C365" s="77" t="s">
        <v>162</v>
      </c>
      <c r="D365" s="77" t="s">
        <v>163</v>
      </c>
      <c r="E365" s="70" t="s">
        <v>167</v>
      </c>
      <c r="F365" s="77" t="s">
        <v>168</v>
      </c>
      <c r="G365" s="70" t="s">
        <v>171</v>
      </c>
      <c r="H365" s="76" t="str">
        <f t="shared" si="48"/>
        <v/>
      </c>
      <c r="I365" s="260" t="str">
        <f t="shared" si="49"/>
        <v/>
      </c>
    </row>
    <row r="366" spans="2:9">
      <c r="B366" s="77" t="s">
        <v>24</v>
      </c>
      <c r="C366" s="77" t="s">
        <v>162</v>
      </c>
      <c r="D366" s="77" t="s">
        <v>163</v>
      </c>
      <c r="E366" s="70" t="s">
        <v>167</v>
      </c>
      <c r="F366" s="77" t="s">
        <v>169</v>
      </c>
      <c r="G366" s="70" t="s">
        <v>170</v>
      </c>
      <c r="H366" s="76" t="str">
        <f t="shared" si="48"/>
        <v/>
      </c>
      <c r="I366" s="260" t="str">
        <f t="shared" si="49"/>
        <v/>
      </c>
    </row>
    <row r="367" spans="2:9">
      <c r="B367" s="77" t="s">
        <v>24</v>
      </c>
      <c r="C367" s="77" t="s">
        <v>162</v>
      </c>
      <c r="D367" s="77" t="s">
        <v>163</v>
      </c>
      <c r="E367" s="70" t="s">
        <v>167</v>
      </c>
      <c r="F367" s="77" t="s">
        <v>169</v>
      </c>
      <c r="G367" s="70" t="s">
        <v>171</v>
      </c>
      <c r="H367" s="76" t="str">
        <f t="shared" si="48"/>
        <v/>
      </c>
      <c r="I367" s="260" t="str">
        <f t="shared" si="49"/>
        <v/>
      </c>
    </row>
    <row r="368" spans="2:9">
      <c r="B368" s="77" t="s">
        <v>24</v>
      </c>
      <c r="C368" s="77" t="s">
        <v>162</v>
      </c>
      <c r="D368" s="77" t="s">
        <v>164</v>
      </c>
      <c r="E368" s="70" t="s">
        <v>166</v>
      </c>
      <c r="F368" s="77" t="s">
        <v>168</v>
      </c>
      <c r="G368" s="70" t="s">
        <v>170</v>
      </c>
      <c r="H368" s="76" t="str">
        <f t="shared" si="48"/>
        <v/>
      </c>
      <c r="I368" s="260" t="str">
        <f t="shared" si="49"/>
        <v/>
      </c>
    </row>
    <row r="369" spans="2:9">
      <c r="B369" s="77" t="s">
        <v>24</v>
      </c>
      <c r="C369" s="77" t="s">
        <v>162</v>
      </c>
      <c r="D369" s="77" t="s">
        <v>164</v>
      </c>
      <c r="E369" s="70" t="s">
        <v>166</v>
      </c>
      <c r="F369" s="77" t="s">
        <v>168</v>
      </c>
      <c r="G369" s="70" t="s">
        <v>171</v>
      </c>
      <c r="H369" s="76" t="str">
        <f t="shared" si="48"/>
        <v/>
      </c>
      <c r="I369" s="260" t="str">
        <f t="shared" si="49"/>
        <v/>
      </c>
    </row>
    <row r="370" spans="2:9">
      <c r="B370" s="77" t="s">
        <v>24</v>
      </c>
      <c r="C370" s="77" t="s">
        <v>162</v>
      </c>
      <c r="D370" s="77" t="s">
        <v>164</v>
      </c>
      <c r="E370" s="70" t="s">
        <v>166</v>
      </c>
      <c r="F370" s="77" t="s">
        <v>169</v>
      </c>
      <c r="G370" s="70" t="s">
        <v>170</v>
      </c>
      <c r="H370" s="76" t="str">
        <f t="shared" si="48"/>
        <v/>
      </c>
      <c r="I370" s="260" t="str">
        <f t="shared" si="49"/>
        <v/>
      </c>
    </row>
    <row r="371" spans="2:9">
      <c r="B371" s="77" t="s">
        <v>24</v>
      </c>
      <c r="C371" s="77" t="s">
        <v>162</v>
      </c>
      <c r="D371" s="77" t="s">
        <v>164</v>
      </c>
      <c r="E371" s="70" t="s">
        <v>166</v>
      </c>
      <c r="F371" s="77" t="s">
        <v>169</v>
      </c>
      <c r="G371" s="70" t="s">
        <v>171</v>
      </c>
      <c r="H371" s="76" t="str">
        <f t="shared" si="48"/>
        <v/>
      </c>
      <c r="I371" s="260" t="str">
        <f t="shared" si="49"/>
        <v/>
      </c>
    </row>
    <row r="372" spans="2:9">
      <c r="B372" s="77" t="s">
        <v>24</v>
      </c>
      <c r="C372" s="77" t="s">
        <v>162</v>
      </c>
      <c r="D372" s="77" t="s">
        <v>164</v>
      </c>
      <c r="E372" s="70" t="s">
        <v>167</v>
      </c>
      <c r="F372" s="77" t="s">
        <v>168</v>
      </c>
      <c r="G372" s="70" t="s">
        <v>170</v>
      </c>
      <c r="H372" s="76" t="str">
        <f t="shared" si="48"/>
        <v/>
      </c>
      <c r="I372" s="260" t="str">
        <f t="shared" si="49"/>
        <v/>
      </c>
    </row>
    <row r="373" spans="2:9">
      <c r="B373" s="77" t="s">
        <v>24</v>
      </c>
      <c r="C373" s="77" t="s">
        <v>162</v>
      </c>
      <c r="D373" s="77" t="s">
        <v>164</v>
      </c>
      <c r="E373" s="70" t="s">
        <v>167</v>
      </c>
      <c r="F373" s="77" t="s">
        <v>168</v>
      </c>
      <c r="G373" s="70" t="s">
        <v>171</v>
      </c>
      <c r="H373" s="76" t="str">
        <f t="shared" si="48"/>
        <v/>
      </c>
      <c r="I373" s="260" t="str">
        <f t="shared" si="49"/>
        <v/>
      </c>
    </row>
    <row r="374" spans="2:9">
      <c r="B374" s="77" t="s">
        <v>24</v>
      </c>
      <c r="C374" s="77" t="s">
        <v>162</v>
      </c>
      <c r="D374" s="77" t="s">
        <v>164</v>
      </c>
      <c r="E374" s="70" t="s">
        <v>167</v>
      </c>
      <c r="F374" s="77" t="s">
        <v>169</v>
      </c>
      <c r="G374" s="70" t="s">
        <v>170</v>
      </c>
      <c r="H374" s="76" t="str">
        <f t="shared" si="48"/>
        <v/>
      </c>
      <c r="I374" s="260" t="str">
        <f t="shared" si="49"/>
        <v/>
      </c>
    </row>
    <row r="375" spans="2:9">
      <c r="B375" s="77" t="s">
        <v>24</v>
      </c>
      <c r="C375" s="77" t="s">
        <v>162</v>
      </c>
      <c r="D375" s="77" t="s">
        <v>164</v>
      </c>
      <c r="E375" s="70" t="s">
        <v>167</v>
      </c>
      <c r="F375" s="77" t="s">
        <v>169</v>
      </c>
      <c r="G375" s="70" t="s">
        <v>171</v>
      </c>
      <c r="H375" s="76" t="str">
        <f t="shared" si="48"/>
        <v/>
      </c>
      <c r="I375" s="260" t="str">
        <f t="shared" si="49"/>
        <v/>
      </c>
    </row>
    <row r="376" spans="2:9">
      <c r="B376" s="77" t="s">
        <v>24</v>
      </c>
      <c r="C376" s="77" t="s">
        <v>162</v>
      </c>
      <c r="D376" s="77" t="s">
        <v>165</v>
      </c>
      <c r="E376" s="70" t="s">
        <v>166</v>
      </c>
      <c r="F376" s="77" t="s">
        <v>168</v>
      </c>
      <c r="G376" s="70" t="s">
        <v>170</v>
      </c>
      <c r="H376" s="76" t="str">
        <f t="shared" ref="H376:H407" si="50">IF(K79="","",K79)</f>
        <v/>
      </c>
      <c r="I376" s="260" t="str">
        <f t="shared" si="49"/>
        <v/>
      </c>
    </row>
    <row r="377" spans="2:9">
      <c r="B377" s="77" t="s">
        <v>24</v>
      </c>
      <c r="C377" s="77" t="s">
        <v>162</v>
      </c>
      <c r="D377" s="77" t="s">
        <v>165</v>
      </c>
      <c r="E377" s="70" t="s">
        <v>166</v>
      </c>
      <c r="F377" s="77" t="s">
        <v>168</v>
      </c>
      <c r="G377" s="70" t="s">
        <v>171</v>
      </c>
      <c r="H377" s="76" t="str">
        <f t="shared" si="50"/>
        <v/>
      </c>
      <c r="I377" s="260" t="str">
        <f t="shared" si="49"/>
        <v/>
      </c>
    </row>
    <row r="378" spans="2:9">
      <c r="B378" s="77" t="s">
        <v>24</v>
      </c>
      <c r="C378" s="77" t="s">
        <v>162</v>
      </c>
      <c r="D378" s="77" t="s">
        <v>165</v>
      </c>
      <c r="E378" s="70" t="s">
        <v>166</v>
      </c>
      <c r="F378" s="77" t="s">
        <v>169</v>
      </c>
      <c r="G378" s="70" t="s">
        <v>170</v>
      </c>
      <c r="H378" s="76" t="str">
        <f t="shared" si="50"/>
        <v/>
      </c>
      <c r="I378" s="260" t="str">
        <f t="shared" si="49"/>
        <v/>
      </c>
    </row>
    <row r="379" spans="2:9">
      <c r="B379" s="77" t="s">
        <v>24</v>
      </c>
      <c r="C379" s="77" t="s">
        <v>162</v>
      </c>
      <c r="D379" s="77" t="s">
        <v>165</v>
      </c>
      <c r="E379" s="70" t="s">
        <v>166</v>
      </c>
      <c r="F379" s="77" t="s">
        <v>169</v>
      </c>
      <c r="G379" s="70" t="s">
        <v>171</v>
      </c>
      <c r="H379" s="76" t="str">
        <f t="shared" si="50"/>
        <v/>
      </c>
      <c r="I379" s="260" t="str">
        <f t="shared" si="49"/>
        <v/>
      </c>
    </row>
    <row r="380" spans="2:9">
      <c r="B380" s="77" t="s">
        <v>24</v>
      </c>
      <c r="C380" s="77" t="s">
        <v>162</v>
      </c>
      <c r="D380" s="77" t="s">
        <v>165</v>
      </c>
      <c r="E380" s="70" t="s">
        <v>167</v>
      </c>
      <c r="F380" s="77" t="s">
        <v>168</v>
      </c>
      <c r="G380" s="70" t="s">
        <v>170</v>
      </c>
      <c r="H380" s="76" t="str">
        <f t="shared" si="50"/>
        <v/>
      </c>
      <c r="I380" s="260" t="str">
        <f t="shared" si="49"/>
        <v/>
      </c>
    </row>
    <row r="381" spans="2:9">
      <c r="B381" s="77" t="s">
        <v>24</v>
      </c>
      <c r="C381" s="77" t="s">
        <v>162</v>
      </c>
      <c r="D381" s="77" t="s">
        <v>165</v>
      </c>
      <c r="E381" s="70" t="s">
        <v>167</v>
      </c>
      <c r="F381" s="77" t="s">
        <v>168</v>
      </c>
      <c r="G381" s="70" t="s">
        <v>171</v>
      </c>
      <c r="H381" s="76" t="str">
        <f t="shared" si="50"/>
        <v/>
      </c>
      <c r="I381" s="260" t="str">
        <f t="shared" si="49"/>
        <v/>
      </c>
    </row>
    <row r="382" spans="2:9">
      <c r="B382" s="77" t="s">
        <v>24</v>
      </c>
      <c r="C382" s="77" t="s">
        <v>162</v>
      </c>
      <c r="D382" s="77" t="s">
        <v>165</v>
      </c>
      <c r="E382" s="70" t="s">
        <v>167</v>
      </c>
      <c r="F382" s="77" t="s">
        <v>169</v>
      </c>
      <c r="G382" s="70" t="s">
        <v>170</v>
      </c>
      <c r="H382" s="76" t="str">
        <f t="shared" si="50"/>
        <v/>
      </c>
      <c r="I382" s="260" t="str">
        <f t="shared" si="49"/>
        <v/>
      </c>
    </row>
    <row r="383" spans="2:9">
      <c r="B383" s="81" t="s">
        <v>24</v>
      </c>
      <c r="C383" s="81" t="s">
        <v>162</v>
      </c>
      <c r="D383" s="81" t="s">
        <v>165</v>
      </c>
      <c r="E383" s="72" t="s">
        <v>167</v>
      </c>
      <c r="F383" s="81" t="s">
        <v>169</v>
      </c>
      <c r="G383" s="72" t="s">
        <v>171</v>
      </c>
      <c r="H383" s="118" t="str">
        <f t="shared" si="50"/>
        <v/>
      </c>
      <c r="I383" s="262" t="str">
        <f t="shared" si="49"/>
        <v/>
      </c>
    </row>
    <row r="384" spans="2:9">
      <c r="B384" s="75" t="s">
        <v>25</v>
      </c>
      <c r="C384" s="76" t="s">
        <v>160</v>
      </c>
      <c r="D384" s="76" t="s">
        <v>163</v>
      </c>
      <c r="E384" s="65" t="s">
        <v>166</v>
      </c>
      <c r="F384" s="76" t="s">
        <v>168</v>
      </c>
      <c r="G384" s="66" t="s">
        <v>170</v>
      </c>
      <c r="H384" s="76" t="str">
        <f t="shared" ref="H384:H415" si="51">IF(L15="","",L15)</f>
        <v/>
      </c>
      <c r="I384" s="261" t="str">
        <f t="shared" si="49"/>
        <v/>
      </c>
    </row>
    <row r="385" spans="2:9">
      <c r="B385" s="76" t="s">
        <v>25</v>
      </c>
      <c r="C385" s="76" t="s">
        <v>160</v>
      </c>
      <c r="D385" s="76" t="s">
        <v>163</v>
      </c>
      <c r="E385" s="65" t="s">
        <v>166</v>
      </c>
      <c r="F385" s="76" t="s">
        <v>168</v>
      </c>
      <c r="G385" s="66" t="s">
        <v>171</v>
      </c>
      <c r="H385" s="76" t="str">
        <f t="shared" si="51"/>
        <v/>
      </c>
      <c r="I385" s="260" t="str">
        <f t="shared" si="49"/>
        <v/>
      </c>
    </row>
    <row r="386" spans="2:9">
      <c r="B386" s="76" t="s">
        <v>25</v>
      </c>
      <c r="C386" s="76" t="s">
        <v>160</v>
      </c>
      <c r="D386" s="76" t="s">
        <v>163</v>
      </c>
      <c r="E386" s="65" t="s">
        <v>166</v>
      </c>
      <c r="F386" s="76" t="s">
        <v>169</v>
      </c>
      <c r="G386" s="66" t="s">
        <v>170</v>
      </c>
      <c r="H386" s="76" t="str">
        <f t="shared" si="51"/>
        <v/>
      </c>
      <c r="I386" s="260" t="str">
        <f t="shared" si="49"/>
        <v/>
      </c>
    </row>
    <row r="387" spans="2:9">
      <c r="B387" s="76" t="s">
        <v>25</v>
      </c>
      <c r="C387" s="76" t="s">
        <v>160</v>
      </c>
      <c r="D387" s="76" t="s">
        <v>163</v>
      </c>
      <c r="E387" s="65" t="s">
        <v>166</v>
      </c>
      <c r="F387" s="76" t="s">
        <v>169</v>
      </c>
      <c r="G387" s="66" t="s">
        <v>171</v>
      </c>
      <c r="H387" s="76" t="str">
        <f t="shared" si="51"/>
        <v/>
      </c>
      <c r="I387" s="260" t="str">
        <f t="shared" si="49"/>
        <v/>
      </c>
    </row>
    <row r="388" spans="2:9">
      <c r="B388" s="76" t="s">
        <v>25</v>
      </c>
      <c r="C388" s="76" t="s">
        <v>160</v>
      </c>
      <c r="D388" s="76" t="s">
        <v>163</v>
      </c>
      <c r="E388" s="65" t="s">
        <v>167</v>
      </c>
      <c r="F388" s="76" t="s">
        <v>168</v>
      </c>
      <c r="G388" s="66" t="s">
        <v>170</v>
      </c>
      <c r="H388" s="76" t="str">
        <f t="shared" si="51"/>
        <v/>
      </c>
      <c r="I388" s="260" t="str">
        <f t="shared" si="49"/>
        <v/>
      </c>
    </row>
    <row r="389" spans="2:9">
      <c r="B389" s="76" t="s">
        <v>25</v>
      </c>
      <c r="C389" s="76" t="s">
        <v>160</v>
      </c>
      <c r="D389" s="76" t="s">
        <v>163</v>
      </c>
      <c r="E389" s="65" t="s">
        <v>167</v>
      </c>
      <c r="F389" s="76" t="s">
        <v>168</v>
      </c>
      <c r="G389" s="66" t="s">
        <v>171</v>
      </c>
      <c r="H389" s="76" t="str">
        <f t="shared" si="51"/>
        <v/>
      </c>
      <c r="I389" s="260" t="str">
        <f t="shared" si="49"/>
        <v/>
      </c>
    </row>
    <row r="390" spans="2:9">
      <c r="B390" s="76" t="s">
        <v>25</v>
      </c>
      <c r="C390" s="76" t="s">
        <v>160</v>
      </c>
      <c r="D390" s="76" t="s">
        <v>163</v>
      </c>
      <c r="E390" s="65" t="s">
        <v>167</v>
      </c>
      <c r="F390" s="76" t="s">
        <v>169</v>
      </c>
      <c r="G390" s="66" t="s">
        <v>170</v>
      </c>
      <c r="H390" s="76" t="str">
        <f t="shared" si="51"/>
        <v/>
      </c>
      <c r="I390" s="260" t="str">
        <f t="shared" si="49"/>
        <v/>
      </c>
    </row>
    <row r="391" spans="2:9">
      <c r="B391" s="76" t="s">
        <v>25</v>
      </c>
      <c r="C391" s="76" t="s">
        <v>160</v>
      </c>
      <c r="D391" s="76" t="s">
        <v>163</v>
      </c>
      <c r="E391" s="65" t="s">
        <v>167</v>
      </c>
      <c r="F391" s="76" t="s">
        <v>169</v>
      </c>
      <c r="G391" s="66" t="s">
        <v>171</v>
      </c>
      <c r="H391" s="76" t="str">
        <f t="shared" si="51"/>
        <v/>
      </c>
      <c r="I391" s="260" t="str">
        <f t="shared" si="49"/>
        <v/>
      </c>
    </row>
    <row r="392" spans="2:9">
      <c r="B392" s="76" t="s">
        <v>25</v>
      </c>
      <c r="C392" s="76" t="s">
        <v>160</v>
      </c>
      <c r="D392" s="76" t="s">
        <v>164</v>
      </c>
      <c r="E392" s="65" t="s">
        <v>166</v>
      </c>
      <c r="F392" s="76" t="s">
        <v>168</v>
      </c>
      <c r="G392" s="66" t="s">
        <v>170</v>
      </c>
      <c r="H392" s="76" t="str">
        <f t="shared" si="51"/>
        <v/>
      </c>
      <c r="I392" s="260" t="str">
        <f t="shared" si="49"/>
        <v/>
      </c>
    </row>
    <row r="393" spans="2:9">
      <c r="B393" s="76" t="s">
        <v>25</v>
      </c>
      <c r="C393" s="76" t="s">
        <v>160</v>
      </c>
      <c r="D393" s="76" t="s">
        <v>164</v>
      </c>
      <c r="E393" s="65" t="s">
        <v>166</v>
      </c>
      <c r="F393" s="76" t="s">
        <v>168</v>
      </c>
      <c r="G393" s="66" t="s">
        <v>171</v>
      </c>
      <c r="H393" s="76" t="str">
        <f t="shared" si="51"/>
        <v/>
      </c>
      <c r="I393" s="260" t="str">
        <f t="shared" si="49"/>
        <v/>
      </c>
    </row>
    <row r="394" spans="2:9">
      <c r="B394" s="76" t="s">
        <v>25</v>
      </c>
      <c r="C394" s="76" t="s">
        <v>160</v>
      </c>
      <c r="D394" s="76" t="s">
        <v>164</v>
      </c>
      <c r="E394" s="65" t="s">
        <v>166</v>
      </c>
      <c r="F394" s="76" t="s">
        <v>169</v>
      </c>
      <c r="G394" s="66" t="s">
        <v>170</v>
      </c>
      <c r="H394" s="76" t="str">
        <f t="shared" si="51"/>
        <v/>
      </c>
      <c r="I394" s="260" t="str">
        <f t="shared" si="49"/>
        <v/>
      </c>
    </row>
    <row r="395" spans="2:9">
      <c r="B395" s="76" t="s">
        <v>25</v>
      </c>
      <c r="C395" s="76" t="s">
        <v>160</v>
      </c>
      <c r="D395" s="76" t="s">
        <v>164</v>
      </c>
      <c r="E395" s="65" t="s">
        <v>166</v>
      </c>
      <c r="F395" s="76" t="s">
        <v>169</v>
      </c>
      <c r="G395" s="66" t="s">
        <v>171</v>
      </c>
      <c r="H395" s="76" t="str">
        <f t="shared" si="51"/>
        <v/>
      </c>
      <c r="I395" s="260" t="str">
        <f t="shared" si="49"/>
        <v/>
      </c>
    </row>
    <row r="396" spans="2:9">
      <c r="B396" s="76" t="s">
        <v>25</v>
      </c>
      <c r="C396" s="76" t="s">
        <v>160</v>
      </c>
      <c r="D396" s="76" t="s">
        <v>164</v>
      </c>
      <c r="E396" s="65" t="s">
        <v>167</v>
      </c>
      <c r="F396" s="76" t="s">
        <v>168</v>
      </c>
      <c r="G396" s="66" t="s">
        <v>170</v>
      </c>
      <c r="H396" s="76" t="str">
        <f t="shared" si="51"/>
        <v/>
      </c>
      <c r="I396" s="260" t="str">
        <f t="shared" si="49"/>
        <v/>
      </c>
    </row>
    <row r="397" spans="2:9">
      <c r="B397" s="76" t="s">
        <v>25</v>
      </c>
      <c r="C397" s="76" t="s">
        <v>160</v>
      </c>
      <c r="D397" s="76" t="s">
        <v>164</v>
      </c>
      <c r="E397" s="65" t="s">
        <v>167</v>
      </c>
      <c r="F397" s="76" t="s">
        <v>168</v>
      </c>
      <c r="G397" s="66" t="s">
        <v>171</v>
      </c>
      <c r="H397" s="76" t="str">
        <f t="shared" si="51"/>
        <v/>
      </c>
      <c r="I397" s="260" t="str">
        <f t="shared" si="49"/>
        <v/>
      </c>
    </row>
    <row r="398" spans="2:9">
      <c r="B398" s="76" t="s">
        <v>25</v>
      </c>
      <c r="C398" s="76" t="s">
        <v>160</v>
      </c>
      <c r="D398" s="76" t="s">
        <v>164</v>
      </c>
      <c r="E398" s="65" t="s">
        <v>167</v>
      </c>
      <c r="F398" s="76" t="s">
        <v>169</v>
      </c>
      <c r="G398" s="66" t="s">
        <v>170</v>
      </c>
      <c r="H398" s="76" t="str">
        <f t="shared" si="51"/>
        <v/>
      </c>
      <c r="I398" s="260" t="str">
        <f t="shared" si="49"/>
        <v/>
      </c>
    </row>
    <row r="399" spans="2:9">
      <c r="B399" s="76" t="s">
        <v>25</v>
      </c>
      <c r="C399" s="76" t="s">
        <v>160</v>
      </c>
      <c r="D399" s="76" t="s">
        <v>164</v>
      </c>
      <c r="E399" s="65" t="s">
        <v>167</v>
      </c>
      <c r="F399" s="76" t="s">
        <v>169</v>
      </c>
      <c r="G399" s="66" t="s">
        <v>171</v>
      </c>
      <c r="H399" s="76" t="str">
        <f t="shared" si="51"/>
        <v/>
      </c>
      <c r="I399" s="260" t="str">
        <f t="shared" si="49"/>
        <v/>
      </c>
    </row>
    <row r="400" spans="2:9">
      <c r="B400" s="76" t="s">
        <v>25</v>
      </c>
      <c r="C400" s="76" t="s">
        <v>160</v>
      </c>
      <c r="D400" s="76" t="s">
        <v>165</v>
      </c>
      <c r="E400" s="65" t="s">
        <v>166</v>
      </c>
      <c r="F400" s="76" t="s">
        <v>168</v>
      </c>
      <c r="G400" s="66" t="s">
        <v>170</v>
      </c>
      <c r="H400" s="76" t="str">
        <f t="shared" si="51"/>
        <v/>
      </c>
      <c r="I400" s="260" t="str">
        <f t="shared" si="49"/>
        <v/>
      </c>
    </row>
    <row r="401" spans="2:9">
      <c r="B401" s="76" t="s">
        <v>25</v>
      </c>
      <c r="C401" s="76" t="s">
        <v>160</v>
      </c>
      <c r="D401" s="76" t="s">
        <v>165</v>
      </c>
      <c r="E401" s="65" t="s">
        <v>166</v>
      </c>
      <c r="F401" s="76" t="s">
        <v>168</v>
      </c>
      <c r="G401" s="65" t="s">
        <v>171</v>
      </c>
      <c r="H401" s="76" t="str">
        <f t="shared" si="51"/>
        <v/>
      </c>
      <c r="I401" s="260" t="str">
        <f t="shared" si="49"/>
        <v/>
      </c>
    </row>
    <row r="402" spans="2:9">
      <c r="B402" s="76" t="s">
        <v>25</v>
      </c>
      <c r="C402" s="76" t="s">
        <v>160</v>
      </c>
      <c r="D402" s="76" t="s">
        <v>165</v>
      </c>
      <c r="E402" s="65" t="s">
        <v>166</v>
      </c>
      <c r="F402" s="77" t="s">
        <v>169</v>
      </c>
      <c r="G402" s="65" t="s">
        <v>170</v>
      </c>
      <c r="H402" s="76" t="str">
        <f t="shared" si="51"/>
        <v/>
      </c>
      <c r="I402" s="260" t="str">
        <f t="shared" si="49"/>
        <v/>
      </c>
    </row>
    <row r="403" spans="2:9">
      <c r="B403" s="76" t="s">
        <v>25</v>
      </c>
      <c r="C403" s="76" t="s">
        <v>160</v>
      </c>
      <c r="D403" s="76" t="s">
        <v>165</v>
      </c>
      <c r="E403" s="65" t="s">
        <v>166</v>
      </c>
      <c r="F403" s="77" t="s">
        <v>169</v>
      </c>
      <c r="G403" s="65" t="s">
        <v>171</v>
      </c>
      <c r="H403" s="76" t="str">
        <f t="shared" si="51"/>
        <v/>
      </c>
      <c r="I403" s="260" t="str">
        <f t="shared" si="49"/>
        <v/>
      </c>
    </row>
    <row r="404" spans="2:9">
      <c r="B404" s="76" t="s">
        <v>25</v>
      </c>
      <c r="C404" s="76" t="s">
        <v>160</v>
      </c>
      <c r="D404" s="76" t="s">
        <v>165</v>
      </c>
      <c r="E404" s="65" t="s">
        <v>167</v>
      </c>
      <c r="F404" s="77" t="s">
        <v>168</v>
      </c>
      <c r="G404" s="65" t="s">
        <v>170</v>
      </c>
      <c r="H404" s="76" t="str">
        <f t="shared" si="51"/>
        <v/>
      </c>
      <c r="I404" s="260" t="str">
        <f t="shared" si="49"/>
        <v/>
      </c>
    </row>
    <row r="405" spans="2:9">
      <c r="B405" s="76" t="s">
        <v>25</v>
      </c>
      <c r="C405" s="76" t="s">
        <v>160</v>
      </c>
      <c r="D405" s="76" t="s">
        <v>165</v>
      </c>
      <c r="E405" s="65" t="s">
        <v>167</v>
      </c>
      <c r="F405" s="77" t="s">
        <v>168</v>
      </c>
      <c r="G405" s="65" t="s">
        <v>171</v>
      </c>
      <c r="H405" s="76" t="str">
        <f t="shared" si="51"/>
        <v/>
      </c>
      <c r="I405" s="260" t="str">
        <f t="shared" si="49"/>
        <v/>
      </c>
    </row>
    <row r="406" spans="2:9">
      <c r="B406" s="76" t="s">
        <v>25</v>
      </c>
      <c r="C406" s="76" t="s">
        <v>160</v>
      </c>
      <c r="D406" s="76" t="s">
        <v>165</v>
      </c>
      <c r="E406" s="65" t="s">
        <v>167</v>
      </c>
      <c r="F406" s="77" t="s">
        <v>169</v>
      </c>
      <c r="G406" s="65" t="s">
        <v>170</v>
      </c>
      <c r="H406" s="76" t="str">
        <f t="shared" si="51"/>
        <v/>
      </c>
      <c r="I406" s="260" t="str">
        <f t="shared" si="49"/>
        <v/>
      </c>
    </row>
    <row r="407" spans="2:9">
      <c r="B407" s="76" t="s">
        <v>25</v>
      </c>
      <c r="C407" s="76" t="s">
        <v>160</v>
      </c>
      <c r="D407" s="76" t="s">
        <v>165</v>
      </c>
      <c r="E407" s="65" t="s">
        <v>167</v>
      </c>
      <c r="F407" s="77" t="s">
        <v>169</v>
      </c>
      <c r="G407" s="65" t="s">
        <v>171</v>
      </c>
      <c r="H407" s="76" t="str">
        <f t="shared" si="51"/>
        <v/>
      </c>
      <c r="I407" s="260" t="str">
        <f t="shared" si="49"/>
        <v/>
      </c>
    </row>
    <row r="408" spans="2:9">
      <c r="B408" s="76" t="s">
        <v>25</v>
      </c>
      <c r="C408" s="76" t="s">
        <v>161</v>
      </c>
      <c r="D408" s="76" t="s">
        <v>163</v>
      </c>
      <c r="E408" s="65" t="s">
        <v>166</v>
      </c>
      <c r="F408" s="77" t="s">
        <v>168</v>
      </c>
      <c r="G408" s="65" t="s">
        <v>170</v>
      </c>
      <c r="H408" s="76" t="str">
        <f t="shared" si="51"/>
        <v/>
      </c>
      <c r="I408" s="260" t="str">
        <f t="shared" si="49"/>
        <v/>
      </c>
    </row>
    <row r="409" spans="2:9">
      <c r="B409" s="76" t="s">
        <v>25</v>
      </c>
      <c r="C409" s="76" t="s">
        <v>161</v>
      </c>
      <c r="D409" s="76" t="s">
        <v>163</v>
      </c>
      <c r="E409" s="65" t="s">
        <v>166</v>
      </c>
      <c r="F409" s="77" t="s">
        <v>168</v>
      </c>
      <c r="G409" s="65" t="s">
        <v>171</v>
      </c>
      <c r="H409" s="76" t="str">
        <f t="shared" si="51"/>
        <v/>
      </c>
      <c r="I409" s="260" t="str">
        <f t="shared" si="49"/>
        <v/>
      </c>
    </row>
    <row r="410" spans="2:9">
      <c r="B410" s="76" t="s">
        <v>25</v>
      </c>
      <c r="C410" s="76" t="s">
        <v>161</v>
      </c>
      <c r="D410" s="77" t="s">
        <v>163</v>
      </c>
      <c r="E410" s="65" t="s">
        <v>166</v>
      </c>
      <c r="F410" s="77" t="s">
        <v>169</v>
      </c>
      <c r="G410" s="65" t="s">
        <v>170</v>
      </c>
      <c r="H410" s="76" t="str">
        <f t="shared" si="51"/>
        <v/>
      </c>
      <c r="I410" s="260" t="str">
        <f t="shared" si="49"/>
        <v/>
      </c>
    </row>
    <row r="411" spans="2:9">
      <c r="B411" s="77" t="s">
        <v>25</v>
      </c>
      <c r="C411" s="77" t="s">
        <v>161</v>
      </c>
      <c r="D411" s="77" t="s">
        <v>163</v>
      </c>
      <c r="E411" s="65" t="s">
        <v>166</v>
      </c>
      <c r="F411" s="77" t="s">
        <v>169</v>
      </c>
      <c r="G411" s="65" t="s">
        <v>171</v>
      </c>
      <c r="H411" s="76" t="str">
        <f t="shared" si="51"/>
        <v/>
      </c>
      <c r="I411" s="260" t="str">
        <f t="shared" si="49"/>
        <v/>
      </c>
    </row>
    <row r="412" spans="2:9">
      <c r="B412" s="77" t="s">
        <v>25</v>
      </c>
      <c r="C412" s="77" t="s">
        <v>161</v>
      </c>
      <c r="D412" s="77" t="s">
        <v>163</v>
      </c>
      <c r="E412" s="65" t="s">
        <v>167</v>
      </c>
      <c r="F412" s="77" t="s">
        <v>168</v>
      </c>
      <c r="G412" s="65" t="s">
        <v>170</v>
      </c>
      <c r="H412" s="76" t="str">
        <f t="shared" si="51"/>
        <v/>
      </c>
      <c r="I412" s="260" t="str">
        <f t="shared" si="49"/>
        <v/>
      </c>
    </row>
    <row r="413" spans="2:9">
      <c r="B413" s="78" t="s">
        <v>25</v>
      </c>
      <c r="C413" s="78" t="s">
        <v>161</v>
      </c>
      <c r="D413" s="78" t="s">
        <v>163</v>
      </c>
      <c r="E413" s="71" t="s">
        <v>167</v>
      </c>
      <c r="F413" s="78" t="s">
        <v>168</v>
      </c>
      <c r="G413" s="71" t="s">
        <v>171</v>
      </c>
      <c r="H413" s="164" t="str">
        <f t="shared" si="51"/>
        <v/>
      </c>
      <c r="I413" s="260" t="str">
        <f t="shared" si="49"/>
        <v/>
      </c>
    </row>
    <row r="414" spans="2:9">
      <c r="B414" s="76" t="s">
        <v>25</v>
      </c>
      <c r="C414" s="76" t="s">
        <v>161</v>
      </c>
      <c r="D414" s="82" t="s">
        <v>163</v>
      </c>
      <c r="E414" s="68" t="s">
        <v>167</v>
      </c>
      <c r="F414" s="79" t="s">
        <v>169</v>
      </c>
      <c r="G414" s="69" t="s">
        <v>170</v>
      </c>
      <c r="H414" s="76" t="str">
        <f t="shared" si="51"/>
        <v/>
      </c>
      <c r="I414" s="260" t="str">
        <f t="shared" si="49"/>
        <v/>
      </c>
    </row>
    <row r="415" spans="2:9">
      <c r="B415" s="76" t="s">
        <v>25</v>
      </c>
      <c r="C415" s="76" t="s">
        <v>161</v>
      </c>
      <c r="D415" s="82" t="s">
        <v>163</v>
      </c>
      <c r="E415" s="68" t="s">
        <v>167</v>
      </c>
      <c r="F415" s="79" t="s">
        <v>169</v>
      </c>
      <c r="G415" s="69" t="s">
        <v>171</v>
      </c>
      <c r="H415" s="76" t="str">
        <f t="shared" si="51"/>
        <v/>
      </c>
      <c r="I415" s="260" t="str">
        <f t="shared" si="49"/>
        <v/>
      </c>
    </row>
    <row r="416" spans="2:9">
      <c r="B416" s="76" t="s">
        <v>25</v>
      </c>
      <c r="C416" s="76" t="s">
        <v>161</v>
      </c>
      <c r="D416" s="82" t="s">
        <v>164</v>
      </c>
      <c r="E416" s="68" t="s">
        <v>166</v>
      </c>
      <c r="F416" s="79" t="s">
        <v>168</v>
      </c>
      <c r="G416" s="69" t="s">
        <v>170</v>
      </c>
      <c r="H416" s="76" t="str">
        <f t="shared" ref="H416:H447" si="52">IF(L47="","",L47)</f>
        <v/>
      </c>
      <c r="I416" s="260" t="str">
        <f t="shared" ref="I416:I455" si="53">IF(H416="","",CONCATENATE(C416,"_",D416,"_",E416,"_",F416,"_",G416))</f>
        <v/>
      </c>
    </row>
    <row r="417" spans="2:9">
      <c r="B417" s="76" t="s">
        <v>25</v>
      </c>
      <c r="C417" s="76" t="s">
        <v>161</v>
      </c>
      <c r="D417" s="82" t="s">
        <v>164</v>
      </c>
      <c r="E417" s="68" t="s">
        <v>166</v>
      </c>
      <c r="F417" s="79" t="s">
        <v>168</v>
      </c>
      <c r="G417" s="69" t="s">
        <v>171</v>
      </c>
      <c r="H417" s="76" t="str">
        <f t="shared" si="52"/>
        <v/>
      </c>
      <c r="I417" s="260" t="str">
        <f t="shared" si="53"/>
        <v/>
      </c>
    </row>
    <row r="418" spans="2:9">
      <c r="B418" s="76" t="s">
        <v>25</v>
      </c>
      <c r="C418" s="76" t="s">
        <v>161</v>
      </c>
      <c r="D418" s="82" t="s">
        <v>164</v>
      </c>
      <c r="E418" s="68" t="s">
        <v>166</v>
      </c>
      <c r="F418" s="79" t="s">
        <v>169</v>
      </c>
      <c r="G418" s="69" t="s">
        <v>170</v>
      </c>
      <c r="H418" s="76" t="str">
        <f t="shared" si="52"/>
        <v/>
      </c>
      <c r="I418" s="260" t="str">
        <f t="shared" si="53"/>
        <v/>
      </c>
    </row>
    <row r="419" spans="2:9">
      <c r="B419" s="84" t="s">
        <v>25</v>
      </c>
      <c r="C419" s="84" t="s">
        <v>161</v>
      </c>
      <c r="D419" s="83" t="s">
        <v>164</v>
      </c>
      <c r="E419" s="73" t="s">
        <v>166</v>
      </c>
      <c r="F419" s="80" t="s">
        <v>169</v>
      </c>
      <c r="G419" s="74" t="s">
        <v>171</v>
      </c>
      <c r="H419" s="84" t="str">
        <f t="shared" si="52"/>
        <v/>
      </c>
      <c r="I419" s="260" t="str">
        <f t="shared" si="53"/>
        <v/>
      </c>
    </row>
    <row r="420" spans="2:9">
      <c r="B420" s="84" t="s">
        <v>25</v>
      </c>
      <c r="C420" s="84" t="s">
        <v>161</v>
      </c>
      <c r="D420" s="83" t="s">
        <v>164</v>
      </c>
      <c r="E420" s="73" t="s">
        <v>167</v>
      </c>
      <c r="F420" s="80" t="s">
        <v>168</v>
      </c>
      <c r="G420" s="74" t="s">
        <v>170</v>
      </c>
      <c r="H420" s="84" t="str">
        <f t="shared" si="52"/>
        <v/>
      </c>
      <c r="I420" s="260" t="str">
        <f t="shared" si="53"/>
        <v/>
      </c>
    </row>
    <row r="421" spans="2:9">
      <c r="B421" s="84" t="s">
        <v>25</v>
      </c>
      <c r="C421" s="84" t="s">
        <v>161</v>
      </c>
      <c r="D421" s="83" t="s">
        <v>164</v>
      </c>
      <c r="E421" s="73" t="s">
        <v>167</v>
      </c>
      <c r="F421" s="80" t="s">
        <v>168</v>
      </c>
      <c r="G421" s="74" t="s">
        <v>171</v>
      </c>
      <c r="H421" s="84" t="str">
        <f t="shared" si="52"/>
        <v/>
      </c>
      <c r="I421" s="260" t="str">
        <f t="shared" si="53"/>
        <v/>
      </c>
    </row>
    <row r="422" spans="2:9">
      <c r="B422" s="84" t="s">
        <v>25</v>
      </c>
      <c r="C422" s="84" t="s">
        <v>161</v>
      </c>
      <c r="D422" s="83" t="s">
        <v>164</v>
      </c>
      <c r="E422" s="73" t="s">
        <v>167</v>
      </c>
      <c r="F422" s="80" t="s">
        <v>169</v>
      </c>
      <c r="G422" s="74" t="s">
        <v>170</v>
      </c>
      <c r="H422" s="84" t="str">
        <f t="shared" si="52"/>
        <v/>
      </c>
      <c r="I422" s="260" t="str">
        <f t="shared" si="53"/>
        <v/>
      </c>
    </row>
    <row r="423" spans="2:9">
      <c r="B423" s="84" t="s">
        <v>25</v>
      </c>
      <c r="C423" s="84" t="s">
        <v>161</v>
      </c>
      <c r="D423" s="83" t="s">
        <v>164</v>
      </c>
      <c r="E423" s="73" t="s">
        <v>167</v>
      </c>
      <c r="F423" s="80" t="s">
        <v>169</v>
      </c>
      <c r="G423" s="74" t="s">
        <v>171</v>
      </c>
      <c r="H423" s="84" t="str">
        <f t="shared" si="52"/>
        <v/>
      </c>
      <c r="I423" s="260" t="str">
        <f t="shared" si="53"/>
        <v/>
      </c>
    </row>
    <row r="424" spans="2:9">
      <c r="B424" s="84" t="s">
        <v>25</v>
      </c>
      <c r="C424" s="84" t="s">
        <v>161</v>
      </c>
      <c r="D424" s="83" t="s">
        <v>165</v>
      </c>
      <c r="E424" s="73" t="s">
        <v>166</v>
      </c>
      <c r="F424" s="80" t="s">
        <v>168</v>
      </c>
      <c r="G424" s="74" t="s">
        <v>170</v>
      </c>
      <c r="H424" s="84" t="str">
        <f t="shared" si="52"/>
        <v/>
      </c>
      <c r="I424" s="260" t="str">
        <f t="shared" si="53"/>
        <v/>
      </c>
    </row>
    <row r="425" spans="2:9">
      <c r="B425" s="84" t="s">
        <v>25</v>
      </c>
      <c r="C425" s="84" t="s">
        <v>161</v>
      </c>
      <c r="D425" s="83" t="s">
        <v>165</v>
      </c>
      <c r="E425" s="73" t="s">
        <v>166</v>
      </c>
      <c r="F425" s="80" t="s">
        <v>168</v>
      </c>
      <c r="G425" s="74" t="s">
        <v>171</v>
      </c>
      <c r="H425" s="84" t="str">
        <f t="shared" si="52"/>
        <v/>
      </c>
      <c r="I425" s="260" t="str">
        <f t="shared" si="53"/>
        <v/>
      </c>
    </row>
    <row r="426" spans="2:9">
      <c r="B426" s="84" t="s">
        <v>25</v>
      </c>
      <c r="C426" s="84" t="s">
        <v>161</v>
      </c>
      <c r="D426" s="83" t="s">
        <v>165</v>
      </c>
      <c r="E426" s="73" t="s">
        <v>166</v>
      </c>
      <c r="F426" s="80" t="s">
        <v>169</v>
      </c>
      <c r="G426" s="74" t="s">
        <v>170</v>
      </c>
      <c r="H426" s="84" t="str">
        <f t="shared" si="52"/>
        <v/>
      </c>
      <c r="I426" s="260" t="str">
        <f t="shared" si="53"/>
        <v/>
      </c>
    </row>
    <row r="427" spans="2:9">
      <c r="B427" s="84" t="s">
        <v>25</v>
      </c>
      <c r="C427" s="84" t="s">
        <v>161</v>
      </c>
      <c r="D427" s="83" t="s">
        <v>165</v>
      </c>
      <c r="E427" s="73" t="s">
        <v>166</v>
      </c>
      <c r="F427" s="80" t="s">
        <v>169</v>
      </c>
      <c r="G427" s="74" t="s">
        <v>171</v>
      </c>
      <c r="H427" s="84" t="str">
        <f t="shared" si="52"/>
        <v/>
      </c>
      <c r="I427" s="260" t="str">
        <f t="shared" si="53"/>
        <v/>
      </c>
    </row>
    <row r="428" spans="2:9">
      <c r="B428" s="84" t="s">
        <v>25</v>
      </c>
      <c r="C428" s="84" t="s">
        <v>161</v>
      </c>
      <c r="D428" s="83" t="s">
        <v>165</v>
      </c>
      <c r="E428" s="73" t="s">
        <v>167</v>
      </c>
      <c r="F428" s="80" t="s">
        <v>168</v>
      </c>
      <c r="G428" s="74" t="s">
        <v>170</v>
      </c>
      <c r="H428" s="84" t="str">
        <f t="shared" si="52"/>
        <v/>
      </c>
      <c r="I428" s="260" t="str">
        <f t="shared" si="53"/>
        <v/>
      </c>
    </row>
    <row r="429" spans="2:9">
      <c r="B429" s="76" t="s">
        <v>25</v>
      </c>
      <c r="C429" s="76" t="s">
        <v>161</v>
      </c>
      <c r="D429" s="82" t="s">
        <v>165</v>
      </c>
      <c r="E429" s="68" t="s">
        <v>167</v>
      </c>
      <c r="F429" s="77" t="s">
        <v>168</v>
      </c>
      <c r="G429" s="65" t="s">
        <v>171</v>
      </c>
      <c r="H429" s="76" t="str">
        <f t="shared" si="52"/>
        <v/>
      </c>
      <c r="I429" s="260" t="str">
        <f t="shared" si="53"/>
        <v/>
      </c>
    </row>
    <row r="430" spans="2:9">
      <c r="B430" s="76" t="s">
        <v>25</v>
      </c>
      <c r="C430" s="76" t="s">
        <v>161</v>
      </c>
      <c r="D430" s="82" t="s">
        <v>165</v>
      </c>
      <c r="E430" s="68" t="s">
        <v>167</v>
      </c>
      <c r="F430" s="77" t="s">
        <v>169</v>
      </c>
      <c r="G430" s="65" t="s">
        <v>170</v>
      </c>
      <c r="H430" s="76" t="str">
        <f t="shared" si="52"/>
        <v/>
      </c>
      <c r="I430" s="260" t="str">
        <f t="shared" si="53"/>
        <v/>
      </c>
    </row>
    <row r="431" spans="2:9">
      <c r="B431" s="77" t="s">
        <v>25</v>
      </c>
      <c r="C431" s="77" t="s">
        <v>161</v>
      </c>
      <c r="D431" s="77" t="s">
        <v>165</v>
      </c>
      <c r="E431" s="65" t="s">
        <v>167</v>
      </c>
      <c r="F431" s="77" t="s">
        <v>169</v>
      </c>
      <c r="G431" s="65" t="s">
        <v>171</v>
      </c>
      <c r="H431" s="76" t="str">
        <f t="shared" si="52"/>
        <v/>
      </c>
      <c r="I431" s="260" t="str">
        <f t="shared" si="53"/>
        <v/>
      </c>
    </row>
    <row r="432" spans="2:9">
      <c r="B432" s="77" t="s">
        <v>25</v>
      </c>
      <c r="C432" s="77" t="s">
        <v>162</v>
      </c>
      <c r="D432" s="77" t="s">
        <v>163</v>
      </c>
      <c r="E432" s="70" t="s">
        <v>166</v>
      </c>
      <c r="F432" s="77" t="s">
        <v>168</v>
      </c>
      <c r="G432" s="70" t="s">
        <v>170</v>
      </c>
      <c r="H432" s="76" t="str">
        <f t="shared" si="52"/>
        <v/>
      </c>
      <c r="I432" s="260" t="str">
        <f t="shared" si="53"/>
        <v/>
      </c>
    </row>
    <row r="433" spans="2:9">
      <c r="B433" s="77" t="s">
        <v>25</v>
      </c>
      <c r="C433" s="77" t="s">
        <v>162</v>
      </c>
      <c r="D433" s="77" t="s">
        <v>163</v>
      </c>
      <c r="E433" s="70" t="s">
        <v>166</v>
      </c>
      <c r="F433" s="77" t="s">
        <v>168</v>
      </c>
      <c r="G433" s="70" t="s">
        <v>171</v>
      </c>
      <c r="H433" s="76" t="str">
        <f t="shared" si="52"/>
        <v/>
      </c>
      <c r="I433" s="260" t="str">
        <f t="shared" si="53"/>
        <v/>
      </c>
    </row>
    <row r="434" spans="2:9">
      <c r="B434" s="77" t="s">
        <v>25</v>
      </c>
      <c r="C434" s="77" t="s">
        <v>162</v>
      </c>
      <c r="D434" s="77" t="s">
        <v>163</v>
      </c>
      <c r="E434" s="70" t="s">
        <v>166</v>
      </c>
      <c r="F434" s="77" t="s">
        <v>169</v>
      </c>
      <c r="G434" s="70" t="s">
        <v>170</v>
      </c>
      <c r="H434" s="76" t="str">
        <f t="shared" si="52"/>
        <v/>
      </c>
      <c r="I434" s="260" t="str">
        <f t="shared" si="53"/>
        <v/>
      </c>
    </row>
    <row r="435" spans="2:9">
      <c r="B435" s="77" t="s">
        <v>25</v>
      </c>
      <c r="C435" s="77" t="s">
        <v>162</v>
      </c>
      <c r="D435" s="77" t="s">
        <v>163</v>
      </c>
      <c r="E435" s="70" t="s">
        <v>166</v>
      </c>
      <c r="F435" s="77" t="s">
        <v>169</v>
      </c>
      <c r="G435" s="70" t="s">
        <v>171</v>
      </c>
      <c r="H435" s="76" t="str">
        <f t="shared" si="52"/>
        <v/>
      </c>
      <c r="I435" s="260" t="str">
        <f t="shared" si="53"/>
        <v/>
      </c>
    </row>
    <row r="436" spans="2:9">
      <c r="B436" s="77" t="s">
        <v>25</v>
      </c>
      <c r="C436" s="77" t="s">
        <v>162</v>
      </c>
      <c r="D436" s="77" t="s">
        <v>163</v>
      </c>
      <c r="E436" s="70" t="s">
        <v>167</v>
      </c>
      <c r="F436" s="77" t="s">
        <v>168</v>
      </c>
      <c r="G436" s="70" t="s">
        <v>170</v>
      </c>
      <c r="H436" s="76" t="str">
        <f t="shared" si="52"/>
        <v/>
      </c>
      <c r="I436" s="260" t="str">
        <f t="shared" si="53"/>
        <v/>
      </c>
    </row>
    <row r="437" spans="2:9">
      <c r="B437" s="77" t="s">
        <v>25</v>
      </c>
      <c r="C437" s="77" t="s">
        <v>162</v>
      </c>
      <c r="D437" s="77" t="s">
        <v>163</v>
      </c>
      <c r="E437" s="70" t="s">
        <v>167</v>
      </c>
      <c r="F437" s="77" t="s">
        <v>168</v>
      </c>
      <c r="G437" s="70" t="s">
        <v>171</v>
      </c>
      <c r="H437" s="76" t="str">
        <f t="shared" si="52"/>
        <v/>
      </c>
      <c r="I437" s="260" t="str">
        <f t="shared" si="53"/>
        <v/>
      </c>
    </row>
    <row r="438" spans="2:9">
      <c r="B438" s="77" t="s">
        <v>25</v>
      </c>
      <c r="C438" s="77" t="s">
        <v>162</v>
      </c>
      <c r="D438" s="77" t="s">
        <v>163</v>
      </c>
      <c r="E438" s="70" t="s">
        <v>167</v>
      </c>
      <c r="F438" s="77" t="s">
        <v>169</v>
      </c>
      <c r="G438" s="70" t="s">
        <v>170</v>
      </c>
      <c r="H438" s="76" t="str">
        <f t="shared" si="52"/>
        <v/>
      </c>
      <c r="I438" s="260" t="str">
        <f t="shared" si="53"/>
        <v/>
      </c>
    </row>
    <row r="439" spans="2:9">
      <c r="B439" s="77" t="s">
        <v>25</v>
      </c>
      <c r="C439" s="77" t="s">
        <v>162</v>
      </c>
      <c r="D439" s="77" t="s">
        <v>163</v>
      </c>
      <c r="E439" s="70" t="s">
        <v>167</v>
      </c>
      <c r="F439" s="77" t="s">
        <v>169</v>
      </c>
      <c r="G439" s="70" t="s">
        <v>171</v>
      </c>
      <c r="H439" s="76" t="str">
        <f t="shared" si="52"/>
        <v/>
      </c>
      <c r="I439" s="260" t="str">
        <f t="shared" si="53"/>
        <v/>
      </c>
    </row>
    <row r="440" spans="2:9">
      <c r="B440" s="77" t="s">
        <v>25</v>
      </c>
      <c r="C440" s="77" t="s">
        <v>162</v>
      </c>
      <c r="D440" s="77" t="s">
        <v>164</v>
      </c>
      <c r="E440" s="70" t="s">
        <v>166</v>
      </c>
      <c r="F440" s="77" t="s">
        <v>168</v>
      </c>
      <c r="G440" s="70" t="s">
        <v>170</v>
      </c>
      <c r="H440" s="76" t="str">
        <f t="shared" si="52"/>
        <v/>
      </c>
      <c r="I440" s="260" t="str">
        <f t="shared" si="53"/>
        <v/>
      </c>
    </row>
    <row r="441" spans="2:9">
      <c r="B441" s="77" t="s">
        <v>25</v>
      </c>
      <c r="C441" s="77" t="s">
        <v>162</v>
      </c>
      <c r="D441" s="77" t="s">
        <v>164</v>
      </c>
      <c r="E441" s="70" t="s">
        <v>166</v>
      </c>
      <c r="F441" s="77" t="s">
        <v>168</v>
      </c>
      <c r="G441" s="70" t="s">
        <v>171</v>
      </c>
      <c r="H441" s="76" t="str">
        <f t="shared" si="52"/>
        <v/>
      </c>
      <c r="I441" s="260" t="str">
        <f t="shared" si="53"/>
        <v/>
      </c>
    </row>
    <row r="442" spans="2:9">
      <c r="B442" s="77" t="s">
        <v>25</v>
      </c>
      <c r="C442" s="77" t="s">
        <v>162</v>
      </c>
      <c r="D442" s="77" t="s">
        <v>164</v>
      </c>
      <c r="E442" s="70" t="s">
        <v>166</v>
      </c>
      <c r="F442" s="77" t="s">
        <v>169</v>
      </c>
      <c r="G442" s="70" t="s">
        <v>170</v>
      </c>
      <c r="H442" s="76" t="str">
        <f t="shared" si="52"/>
        <v/>
      </c>
      <c r="I442" s="260" t="str">
        <f t="shared" si="53"/>
        <v/>
      </c>
    </row>
    <row r="443" spans="2:9">
      <c r="B443" s="77" t="s">
        <v>25</v>
      </c>
      <c r="C443" s="77" t="s">
        <v>162</v>
      </c>
      <c r="D443" s="77" t="s">
        <v>164</v>
      </c>
      <c r="E443" s="70" t="s">
        <v>166</v>
      </c>
      <c r="F443" s="77" t="s">
        <v>169</v>
      </c>
      <c r="G443" s="70" t="s">
        <v>171</v>
      </c>
      <c r="H443" s="76" t="str">
        <f t="shared" si="52"/>
        <v/>
      </c>
      <c r="I443" s="260" t="str">
        <f t="shared" si="53"/>
        <v/>
      </c>
    </row>
    <row r="444" spans="2:9">
      <c r="B444" s="77" t="s">
        <v>25</v>
      </c>
      <c r="C444" s="77" t="s">
        <v>162</v>
      </c>
      <c r="D444" s="77" t="s">
        <v>164</v>
      </c>
      <c r="E444" s="70" t="s">
        <v>167</v>
      </c>
      <c r="F444" s="77" t="s">
        <v>168</v>
      </c>
      <c r="G444" s="70" t="s">
        <v>170</v>
      </c>
      <c r="H444" s="76" t="str">
        <f t="shared" si="52"/>
        <v/>
      </c>
      <c r="I444" s="260" t="str">
        <f t="shared" si="53"/>
        <v/>
      </c>
    </row>
    <row r="445" spans="2:9">
      <c r="B445" s="77" t="s">
        <v>25</v>
      </c>
      <c r="C445" s="77" t="s">
        <v>162</v>
      </c>
      <c r="D445" s="77" t="s">
        <v>164</v>
      </c>
      <c r="E445" s="70" t="s">
        <v>167</v>
      </c>
      <c r="F445" s="77" t="s">
        <v>168</v>
      </c>
      <c r="G445" s="70" t="s">
        <v>171</v>
      </c>
      <c r="H445" s="76" t="str">
        <f t="shared" si="52"/>
        <v/>
      </c>
      <c r="I445" s="260" t="str">
        <f t="shared" si="53"/>
        <v/>
      </c>
    </row>
    <row r="446" spans="2:9">
      <c r="B446" s="77" t="s">
        <v>25</v>
      </c>
      <c r="C446" s="77" t="s">
        <v>162</v>
      </c>
      <c r="D446" s="77" t="s">
        <v>164</v>
      </c>
      <c r="E446" s="70" t="s">
        <v>167</v>
      </c>
      <c r="F446" s="77" t="s">
        <v>169</v>
      </c>
      <c r="G446" s="70" t="s">
        <v>170</v>
      </c>
      <c r="H446" s="76" t="str">
        <f t="shared" si="52"/>
        <v/>
      </c>
      <c r="I446" s="260" t="str">
        <f t="shared" si="53"/>
        <v/>
      </c>
    </row>
    <row r="447" spans="2:9">
      <c r="B447" s="77" t="s">
        <v>25</v>
      </c>
      <c r="C447" s="77" t="s">
        <v>162</v>
      </c>
      <c r="D447" s="77" t="s">
        <v>164</v>
      </c>
      <c r="E447" s="70" t="s">
        <v>167</v>
      </c>
      <c r="F447" s="77" t="s">
        <v>169</v>
      </c>
      <c r="G447" s="70" t="s">
        <v>171</v>
      </c>
      <c r="H447" s="76" t="str">
        <f t="shared" si="52"/>
        <v/>
      </c>
      <c r="I447" s="260" t="str">
        <f t="shared" si="53"/>
        <v/>
      </c>
    </row>
    <row r="448" spans="2:9">
      <c r="B448" s="77" t="s">
        <v>25</v>
      </c>
      <c r="C448" s="77" t="s">
        <v>162</v>
      </c>
      <c r="D448" s="77" t="s">
        <v>165</v>
      </c>
      <c r="E448" s="70" t="s">
        <v>166</v>
      </c>
      <c r="F448" s="77" t="s">
        <v>168</v>
      </c>
      <c r="G448" s="70" t="s">
        <v>170</v>
      </c>
      <c r="H448" s="76" t="str">
        <f t="shared" ref="H448:H479" si="54">IF(L79="","",L79)</f>
        <v/>
      </c>
      <c r="I448" s="260" t="str">
        <f t="shared" si="53"/>
        <v/>
      </c>
    </row>
    <row r="449" spans="1:10">
      <c r="B449" s="77" t="s">
        <v>25</v>
      </c>
      <c r="C449" s="77" t="s">
        <v>162</v>
      </c>
      <c r="D449" s="77" t="s">
        <v>165</v>
      </c>
      <c r="E449" s="70" t="s">
        <v>166</v>
      </c>
      <c r="F449" s="77" t="s">
        <v>168</v>
      </c>
      <c r="G449" s="70" t="s">
        <v>171</v>
      </c>
      <c r="H449" s="76" t="str">
        <f t="shared" si="54"/>
        <v/>
      </c>
      <c r="I449" s="260" t="str">
        <f t="shared" si="53"/>
        <v/>
      </c>
    </row>
    <row r="450" spans="1:10">
      <c r="B450" s="77" t="s">
        <v>25</v>
      </c>
      <c r="C450" s="77" t="s">
        <v>162</v>
      </c>
      <c r="D450" s="77" t="s">
        <v>165</v>
      </c>
      <c r="E450" s="70" t="s">
        <v>166</v>
      </c>
      <c r="F450" s="77" t="s">
        <v>169</v>
      </c>
      <c r="G450" s="70" t="s">
        <v>170</v>
      </c>
      <c r="H450" s="76" t="str">
        <f t="shared" si="54"/>
        <v/>
      </c>
      <c r="I450" s="260" t="str">
        <f t="shared" si="53"/>
        <v/>
      </c>
    </row>
    <row r="451" spans="1:10">
      <c r="B451" s="77" t="s">
        <v>25</v>
      </c>
      <c r="C451" s="77" t="s">
        <v>162</v>
      </c>
      <c r="D451" s="77" t="s">
        <v>165</v>
      </c>
      <c r="E451" s="70" t="s">
        <v>166</v>
      </c>
      <c r="F451" s="77" t="s">
        <v>169</v>
      </c>
      <c r="G451" s="70" t="s">
        <v>171</v>
      </c>
      <c r="H451" s="76" t="str">
        <f t="shared" si="54"/>
        <v/>
      </c>
      <c r="I451" s="260" t="str">
        <f t="shared" si="53"/>
        <v/>
      </c>
    </row>
    <row r="452" spans="1:10">
      <c r="B452" s="77" t="s">
        <v>25</v>
      </c>
      <c r="C452" s="77" t="s">
        <v>162</v>
      </c>
      <c r="D452" s="77" t="s">
        <v>165</v>
      </c>
      <c r="E452" s="70" t="s">
        <v>167</v>
      </c>
      <c r="F452" s="77" t="s">
        <v>168</v>
      </c>
      <c r="G452" s="70" t="s">
        <v>170</v>
      </c>
      <c r="H452" s="76" t="str">
        <f t="shared" si="54"/>
        <v/>
      </c>
      <c r="I452" s="260" t="str">
        <f t="shared" si="53"/>
        <v/>
      </c>
    </row>
    <row r="453" spans="1:10">
      <c r="B453" s="77" t="s">
        <v>25</v>
      </c>
      <c r="C453" s="77" t="s">
        <v>162</v>
      </c>
      <c r="D453" s="77" t="s">
        <v>165</v>
      </c>
      <c r="E453" s="70" t="s">
        <v>167</v>
      </c>
      <c r="F453" s="77" t="s">
        <v>168</v>
      </c>
      <c r="G453" s="70" t="s">
        <v>171</v>
      </c>
      <c r="H453" s="76" t="str">
        <f t="shared" si="54"/>
        <v/>
      </c>
      <c r="I453" s="260" t="str">
        <f t="shared" si="53"/>
        <v/>
      </c>
    </row>
    <row r="454" spans="1:10">
      <c r="B454" s="77" t="s">
        <v>25</v>
      </c>
      <c r="C454" s="77" t="s">
        <v>162</v>
      </c>
      <c r="D454" s="77" t="s">
        <v>165</v>
      </c>
      <c r="E454" s="70" t="s">
        <v>167</v>
      </c>
      <c r="F454" s="77" t="s">
        <v>169</v>
      </c>
      <c r="G454" s="70" t="s">
        <v>170</v>
      </c>
      <c r="H454" s="76" t="str">
        <f t="shared" si="54"/>
        <v/>
      </c>
      <c r="I454" s="260" t="str">
        <f t="shared" si="53"/>
        <v/>
      </c>
    </row>
    <row r="455" spans="1:10">
      <c r="B455" s="81" t="s">
        <v>25</v>
      </c>
      <c r="C455" s="81" t="s">
        <v>162</v>
      </c>
      <c r="D455" s="81" t="s">
        <v>165</v>
      </c>
      <c r="E455" s="72" t="s">
        <v>167</v>
      </c>
      <c r="F455" s="81" t="s">
        <v>169</v>
      </c>
      <c r="G455" s="72" t="s">
        <v>171</v>
      </c>
      <c r="H455" s="118" t="str">
        <f t="shared" si="54"/>
        <v/>
      </c>
      <c r="I455" s="262" t="str">
        <f t="shared" si="53"/>
        <v/>
      </c>
    </row>
    <row r="458" spans="1:10" ht="14.4">
      <c r="A458" s="237" t="s">
        <v>191</v>
      </c>
      <c r="B458" s="238"/>
      <c r="C458" s="238"/>
      <c r="D458" s="238"/>
      <c r="E458" s="238"/>
      <c r="F458" s="238"/>
      <c r="G458" s="238"/>
      <c r="H458" s="238"/>
      <c r="I458" s="238"/>
      <c r="J458" s="238"/>
    </row>
    <row r="460" spans="1:10">
      <c r="B460" s="35" t="s">
        <v>192</v>
      </c>
    </row>
    <row r="461" spans="1:10">
      <c r="B461" s="35"/>
      <c r="D461" s="35" t="s">
        <v>193</v>
      </c>
    </row>
    <row r="463" spans="1:10">
      <c r="B463" s="24" t="s">
        <v>194</v>
      </c>
    </row>
    <row r="464" spans="1:10">
      <c r="B464" s="35" t="s">
        <v>212</v>
      </c>
    </row>
    <row r="465" spans="2:10" ht="13.8">
      <c r="B465" s="35"/>
      <c r="C465" s="240" t="s">
        <v>232</v>
      </c>
      <c r="D465" s="238"/>
      <c r="E465" s="238"/>
      <c r="F465" s="238"/>
      <c r="G465" s="238"/>
      <c r="H465" s="238"/>
      <c r="I465" s="238"/>
      <c r="J465" s="238"/>
    </row>
    <row r="466" spans="2:10" ht="13.8">
      <c r="B466" s="35"/>
      <c r="C466" s="240" t="s">
        <v>233</v>
      </c>
      <c r="D466" s="238"/>
      <c r="E466" s="238"/>
      <c r="F466" s="238"/>
      <c r="G466" s="238"/>
      <c r="H466" s="238"/>
      <c r="I466" s="238"/>
      <c r="J466" s="238"/>
    </row>
    <row r="467" spans="2:10" ht="13.8">
      <c r="B467" s="35"/>
      <c r="C467" s="240" t="s">
        <v>234</v>
      </c>
      <c r="D467" s="238"/>
      <c r="E467" s="238"/>
      <c r="F467" s="238"/>
      <c r="G467" s="238"/>
      <c r="H467" s="238"/>
      <c r="I467" s="238"/>
      <c r="J467" s="238"/>
    </row>
    <row r="468" spans="2:10">
      <c r="B468" s="35"/>
    </row>
    <row r="469" spans="2:10">
      <c r="B469" s="35" t="s">
        <v>213</v>
      </c>
    </row>
    <row r="470" spans="2:10">
      <c r="B470" s="35" t="s">
        <v>200</v>
      </c>
    </row>
    <row r="471" spans="2:10" ht="13.8">
      <c r="B471" s="35"/>
      <c r="C471" s="240" t="s">
        <v>202</v>
      </c>
      <c r="D471" s="240"/>
      <c r="E471" s="240"/>
      <c r="F471" s="240"/>
      <c r="G471" s="240"/>
      <c r="H471" s="240"/>
      <c r="I471" s="238"/>
      <c r="J471" s="238"/>
    </row>
    <row r="472" spans="2:10" ht="13.8">
      <c r="B472" s="35"/>
      <c r="C472" s="240" t="s">
        <v>203</v>
      </c>
      <c r="D472" s="238"/>
      <c r="E472" s="238"/>
      <c r="F472" s="238"/>
      <c r="G472" s="238"/>
      <c r="H472" s="238"/>
      <c r="I472" s="238"/>
      <c r="J472" s="238"/>
    </row>
    <row r="473" spans="2:10">
      <c r="B473" s="35"/>
    </row>
    <row r="474" spans="2:10">
      <c r="B474" s="35" t="s">
        <v>201</v>
      </c>
    </row>
    <row r="475" spans="2:10">
      <c r="B475" s="35"/>
      <c r="C475" s="35" t="s">
        <v>238</v>
      </c>
    </row>
    <row r="476" spans="2:10">
      <c r="B476" s="35"/>
      <c r="C476" s="263" t="s">
        <v>239</v>
      </c>
    </row>
    <row r="477" spans="2:10">
      <c r="B477" s="35"/>
      <c r="C477" s="35" t="s">
        <v>244</v>
      </c>
    </row>
    <row r="478" spans="2:10">
      <c r="B478" s="35"/>
      <c r="C478" s="263" t="s">
        <v>240</v>
      </c>
    </row>
    <row r="479" spans="2:10">
      <c r="B479" s="35"/>
      <c r="C479" s="35" t="s">
        <v>241</v>
      </c>
    </row>
    <row r="480" spans="2:10">
      <c r="B480" s="35"/>
      <c r="C480" s="35" t="s">
        <v>242</v>
      </c>
    </row>
    <row r="481" spans="1:10">
      <c r="B481" s="35"/>
      <c r="C481" s="35"/>
    </row>
    <row r="482" spans="1:10">
      <c r="B482" s="35"/>
      <c r="C482" s="35" t="s">
        <v>243</v>
      </c>
    </row>
    <row r="483" spans="1:10" ht="13.8">
      <c r="C483" s="240" t="s">
        <v>235</v>
      </c>
      <c r="D483" s="238"/>
      <c r="E483" s="238"/>
      <c r="F483" s="238"/>
      <c r="G483" s="238"/>
      <c r="H483" s="238"/>
      <c r="I483" s="238"/>
      <c r="J483" s="238"/>
    </row>
    <row r="484" spans="1:10" ht="13.8">
      <c r="C484" s="240" t="s">
        <v>233</v>
      </c>
      <c r="D484" s="238"/>
      <c r="E484" s="238"/>
      <c r="F484" s="238"/>
      <c r="G484" s="238"/>
      <c r="H484" s="238"/>
      <c r="I484" s="238"/>
      <c r="J484" s="238"/>
    </row>
    <row r="485" spans="1:10" ht="13.8">
      <c r="C485" s="240" t="s">
        <v>234</v>
      </c>
      <c r="D485" s="238"/>
      <c r="E485" s="238"/>
      <c r="F485" s="238"/>
      <c r="G485" s="238"/>
      <c r="H485" s="238"/>
      <c r="I485" s="238"/>
      <c r="J485" s="238"/>
    </row>
    <row r="486" spans="1:10" ht="15.6">
      <c r="A486" s="203"/>
    </row>
    <row r="487" spans="1:10" ht="15.6">
      <c r="A487" s="203"/>
      <c r="C487" s="240" t="s">
        <v>246</v>
      </c>
      <c r="D487" s="238"/>
      <c r="E487" s="238"/>
      <c r="F487" s="238"/>
      <c r="G487" s="238"/>
      <c r="H487" s="238"/>
      <c r="I487" s="238"/>
      <c r="J487" s="238"/>
    </row>
    <row r="488" spans="1:10" ht="15.6">
      <c r="A488" s="203"/>
      <c r="C488" s="240" t="s">
        <v>202</v>
      </c>
      <c r="D488" s="238"/>
      <c r="E488" s="238"/>
      <c r="F488" s="238"/>
      <c r="G488" s="238"/>
      <c r="H488" s="238"/>
      <c r="I488" s="238"/>
      <c r="J488" s="238"/>
    </row>
    <row r="489" spans="1:10" ht="15.6">
      <c r="A489" s="203"/>
      <c r="C489" s="240" t="s">
        <v>283</v>
      </c>
      <c r="D489" s="238"/>
      <c r="E489" s="238"/>
      <c r="F489" s="238"/>
      <c r="G489" s="238"/>
      <c r="H489" s="238"/>
      <c r="I489" s="238"/>
      <c r="J489" s="238"/>
    </row>
    <row r="490" spans="1:10" ht="15.6">
      <c r="A490" s="203"/>
      <c r="C490" s="240" t="s">
        <v>233</v>
      </c>
      <c r="D490" s="238"/>
      <c r="E490" s="238"/>
      <c r="F490" s="238"/>
      <c r="G490" s="238"/>
      <c r="H490" s="238"/>
      <c r="I490" s="238"/>
      <c r="J490" s="238"/>
    </row>
    <row r="491" spans="1:10" ht="15.6">
      <c r="A491" s="203"/>
      <c r="C491" s="240" t="s">
        <v>279</v>
      </c>
      <c r="D491" s="238"/>
      <c r="E491" s="238"/>
      <c r="F491" s="238"/>
      <c r="G491" s="238"/>
      <c r="H491" s="238"/>
      <c r="I491" s="238"/>
      <c r="J491" s="238"/>
    </row>
    <row r="492" spans="1:10" ht="15.6">
      <c r="A492" s="203"/>
    </row>
    <row r="493" spans="1:10" ht="15.6">
      <c r="A493" s="203"/>
      <c r="B493" s="35" t="s">
        <v>258</v>
      </c>
    </row>
    <row r="494" spans="1:10" ht="15.6">
      <c r="A494" s="203"/>
      <c r="C494" s="240" t="s">
        <v>280</v>
      </c>
      <c r="D494" s="238"/>
      <c r="E494" s="238"/>
      <c r="F494" s="238"/>
      <c r="G494" s="238"/>
      <c r="H494" s="238"/>
      <c r="I494" s="238"/>
      <c r="J494" s="238"/>
    </row>
    <row r="495" spans="1:10" ht="13.8">
      <c r="C495" s="240" t="s">
        <v>281</v>
      </c>
      <c r="D495" s="238"/>
      <c r="E495" s="238"/>
      <c r="F495" s="238"/>
      <c r="G495" s="238"/>
      <c r="H495" s="238"/>
      <c r="I495" s="238"/>
      <c r="J495" s="238"/>
    </row>
    <row r="496" spans="1:10" ht="13.8">
      <c r="C496" s="240" t="s">
        <v>282</v>
      </c>
      <c r="D496" s="238"/>
      <c r="E496" s="238"/>
      <c r="F496" s="238"/>
      <c r="G496" s="238"/>
      <c r="H496" s="238"/>
      <c r="I496" s="238"/>
      <c r="J496" s="238"/>
    </row>
    <row r="499" spans="1:1">
      <c r="A499" s="264" t="s">
        <v>284</v>
      </c>
    </row>
  </sheetData>
  <sheetProtection sheet="1" objects="1" scenarios="1" formatCells="0"/>
  <mergeCells count="6">
    <mergeCell ref="G7:I7"/>
    <mergeCell ref="G8:I8"/>
    <mergeCell ref="G9:I9"/>
    <mergeCell ref="D2:H2"/>
    <mergeCell ref="D3:H3"/>
    <mergeCell ref="D4:H4"/>
  </mergeCells>
  <phoneticPr fontId="6" type="noConversion"/>
  <hyperlinks>
    <hyperlink ref="A499" r:id="rId1"/>
  </hyperlinks>
  <printOptions gridLines="1" gridLinesSet="0"/>
  <pageMargins left="0.78740157499999996" right="0.78740157499999996" top="0.984251969" bottom="0.984251969" header="0.4921259845" footer="0.4921259845"/>
  <pageSetup paperSize="9" orientation="portrait" horizontalDpi="360" verticalDpi="360" copies="0" r:id="rId2"/>
  <headerFooter alignWithMargins="0">
    <oddHeader>&amp;A</oddHeader>
    <oddFooter>Page &amp;P</oddFoot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>
  <dimension ref="B1:E17"/>
  <sheetViews>
    <sheetView workbookViewId="0"/>
  </sheetViews>
  <sheetFormatPr baseColWidth="10" defaultRowHeight="13.2"/>
  <sheetData>
    <row r="1" spans="2:5" ht="13.8" thickBot="1"/>
    <row r="2" spans="2:5">
      <c r="B2" s="8" t="s">
        <v>0</v>
      </c>
      <c r="C2" s="5">
        <v>587.33333333333326</v>
      </c>
    </row>
    <row r="3" spans="2:5" ht="13.8" thickBot="1">
      <c r="B3" s="9" t="s">
        <v>1</v>
      </c>
      <c r="C3" s="3">
        <v>616.66666666666663</v>
      </c>
    </row>
    <row r="5" spans="2:5" ht="13.8" thickBot="1"/>
    <row r="6" spans="2:5">
      <c r="B6" s="8" t="s">
        <v>0</v>
      </c>
      <c r="C6" s="5">
        <v>499.99999999999994</v>
      </c>
      <c r="D6" s="5">
        <v>612</v>
      </c>
      <c r="E6" s="5">
        <v>650</v>
      </c>
    </row>
    <row r="7" spans="2:5" ht="13.8" thickBot="1">
      <c r="B7" s="9" t="s">
        <v>1</v>
      </c>
      <c r="C7" s="3">
        <v>549.99999999999989</v>
      </c>
      <c r="D7" s="3">
        <v>640</v>
      </c>
      <c r="E7" s="3">
        <v>660</v>
      </c>
    </row>
    <row r="9" spans="2:5" ht="13.8" thickBot="1"/>
    <row r="10" spans="2:5">
      <c r="B10" s="8" t="s">
        <v>0</v>
      </c>
      <c r="C10" s="5">
        <v>525</v>
      </c>
    </row>
    <row r="11" spans="2:5">
      <c r="B11" s="7" t="s">
        <v>1</v>
      </c>
      <c r="C11" s="2">
        <v>626</v>
      </c>
    </row>
    <row r="12" spans="2:5" ht="13.8" thickBot="1">
      <c r="B12" s="9" t="s">
        <v>2</v>
      </c>
      <c r="C12" s="3">
        <v>655</v>
      </c>
    </row>
    <row r="14" spans="2:5" ht="13.8" thickBot="1"/>
    <row r="15" spans="2:5">
      <c r="B15" s="8" t="s">
        <v>0</v>
      </c>
      <c r="C15" s="5">
        <v>499.99999999999994</v>
      </c>
      <c r="D15" s="5">
        <v>549.99999999999989</v>
      </c>
    </row>
    <row r="16" spans="2:5">
      <c r="B16" s="7" t="s">
        <v>1</v>
      </c>
      <c r="C16" s="2">
        <v>612</v>
      </c>
      <c r="D16" s="2">
        <v>640</v>
      </c>
    </row>
    <row r="17" spans="2:4" ht="13.8" thickBot="1">
      <c r="B17" s="9" t="s">
        <v>2</v>
      </c>
      <c r="C17" s="3">
        <v>650</v>
      </c>
      <c r="D17" s="3">
        <v>660</v>
      </c>
    </row>
  </sheetData>
  <pageMargins left="0.7" right="0.7" top="0.75" bottom="0.75" header="0.3" footer="0.3"/>
  <ignoredErrors>
    <ignoredError sqref="B2:B3 B6:B7 B10:B12 B15:B17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dimension ref="B1:C8"/>
  <sheetViews>
    <sheetView workbookViewId="0"/>
  </sheetViews>
  <sheetFormatPr baseColWidth="10" defaultRowHeight="13.2"/>
  <sheetData>
    <row r="1" spans="2:3" ht="13.8" thickBot="1"/>
    <row r="2" spans="2:3">
      <c r="B2" s="8" t="s">
        <v>0</v>
      </c>
      <c r="C2" s="5">
        <v>587.33333333333326</v>
      </c>
    </row>
    <row r="3" spans="2:3" ht="13.8" thickBot="1">
      <c r="B3" s="9" t="s">
        <v>1</v>
      </c>
      <c r="C3" s="3">
        <v>616.66666666666663</v>
      </c>
    </row>
    <row r="5" spans="2:3" ht="13.8" thickBot="1"/>
    <row r="6" spans="2:3">
      <c r="B6" s="8" t="s">
        <v>0</v>
      </c>
      <c r="C6" s="5">
        <v>524.99999999999989</v>
      </c>
    </row>
    <row r="7" spans="2:3">
      <c r="B7" s="7" t="s">
        <v>1</v>
      </c>
      <c r="C7" s="2">
        <v>626</v>
      </c>
    </row>
    <row r="8" spans="2:3" ht="13.8" thickBot="1">
      <c r="B8" s="9" t="s">
        <v>2</v>
      </c>
      <c r="C8" s="3">
        <v>655</v>
      </c>
    </row>
  </sheetData>
  <pageMargins left="0.7" right="0.7" top="0.75" bottom="0.75" header="0.3" footer="0.3"/>
  <ignoredErrors>
    <ignoredError sqref="B2:B3 B6:B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dimension ref="B1:E38"/>
  <sheetViews>
    <sheetView workbookViewId="0"/>
  </sheetViews>
  <sheetFormatPr baseColWidth="10" defaultRowHeight="13.2"/>
  <sheetData>
    <row r="1" spans="2:5" ht="13.8" thickBot="1"/>
    <row r="2" spans="2:5">
      <c r="B2" s="8" t="s">
        <v>0</v>
      </c>
      <c r="C2" s="5">
        <v>1.8499999999999999</v>
      </c>
    </row>
    <row r="3" spans="2:5" ht="13.8" thickBot="1">
      <c r="B3" s="9" t="s">
        <v>1</v>
      </c>
      <c r="C3" s="3">
        <v>3.4333333333333336</v>
      </c>
    </row>
    <row r="5" spans="2:5" ht="13.8" thickBot="1"/>
    <row r="6" spans="2:5">
      <c r="B6" s="8" t="s">
        <v>0</v>
      </c>
      <c r="C6" s="5">
        <v>2.4</v>
      </c>
      <c r="D6" s="5">
        <v>1.9000000000000001</v>
      </c>
      <c r="E6" s="5">
        <v>1.25</v>
      </c>
    </row>
    <row r="7" spans="2:5" ht="13.8" thickBot="1">
      <c r="B7" s="9" t="s">
        <v>1</v>
      </c>
      <c r="C7" s="3">
        <v>4.1000000000000005</v>
      </c>
      <c r="D7" s="3">
        <v>3.3000000000000003</v>
      </c>
      <c r="E7" s="3">
        <v>2.9000000000000004</v>
      </c>
    </row>
    <row r="9" spans="2:5" ht="13.8" thickBot="1"/>
    <row r="10" spans="2:5">
      <c r="B10" s="8" t="s">
        <v>0</v>
      </c>
      <c r="C10" s="5">
        <v>2.3333333333333326</v>
      </c>
      <c r="D10" s="5">
        <v>1.3666666666666671</v>
      </c>
    </row>
    <row r="11" spans="2:5" ht="13.8" thickBot="1">
      <c r="B11" s="9" t="s">
        <v>1</v>
      </c>
      <c r="C11" s="3">
        <v>2.9333333333333336</v>
      </c>
      <c r="D11" s="3">
        <v>3.9333333333333336</v>
      </c>
    </row>
    <row r="13" spans="2:5" ht="13.8" thickBot="1"/>
    <row r="14" spans="2:5">
      <c r="B14" s="8" t="s">
        <v>0</v>
      </c>
      <c r="C14" s="5">
        <v>3.25</v>
      </c>
    </row>
    <row r="15" spans="2:5">
      <c r="B15" s="7" t="s">
        <v>1</v>
      </c>
      <c r="C15" s="2">
        <v>2.6</v>
      </c>
    </row>
    <row r="16" spans="2:5" ht="13.8" thickBot="1">
      <c r="B16" s="9" t="s">
        <v>2</v>
      </c>
      <c r="C16" s="3">
        <v>2.0750000000000002</v>
      </c>
    </row>
    <row r="18" spans="2:4" ht="13.8" thickBot="1"/>
    <row r="19" spans="2:4">
      <c r="B19" s="8" t="s">
        <v>0</v>
      </c>
      <c r="C19" s="5">
        <v>2.4</v>
      </c>
      <c r="D19" s="5">
        <v>4.1000000000000005</v>
      </c>
    </row>
    <row r="20" spans="2:4">
      <c r="B20" s="7" t="s">
        <v>1</v>
      </c>
      <c r="C20" s="2">
        <v>1.9000000000000001</v>
      </c>
      <c r="D20" s="2">
        <v>3.3000000000000003</v>
      </c>
    </row>
    <row r="21" spans="2:4" ht="13.8" thickBot="1">
      <c r="B21" s="9" t="s">
        <v>2</v>
      </c>
      <c r="C21" s="3">
        <v>1.25</v>
      </c>
      <c r="D21" s="3">
        <v>2.9000000000000004</v>
      </c>
    </row>
    <row r="23" spans="2:4" ht="13.8" thickBot="1"/>
    <row r="24" spans="2:4">
      <c r="B24" s="8" t="s">
        <v>0</v>
      </c>
      <c r="C24" s="5">
        <v>3.25</v>
      </c>
      <c r="D24" s="5">
        <v>3.2500000000000004</v>
      </c>
    </row>
    <row r="25" spans="2:4">
      <c r="B25" s="7" t="s">
        <v>1</v>
      </c>
      <c r="C25" s="2">
        <v>2.6</v>
      </c>
      <c r="D25" s="2">
        <v>2.6000000000000005</v>
      </c>
    </row>
    <row r="26" spans="2:4" ht="13.8" thickBot="1">
      <c r="B26" s="9" t="s">
        <v>2</v>
      </c>
      <c r="C26" s="3">
        <v>2.0499999999999998</v>
      </c>
      <c r="D26" s="3">
        <v>2.1000000000000005</v>
      </c>
    </row>
    <row r="28" spans="2:4" ht="13.8" thickBot="1"/>
    <row r="29" spans="2:4">
      <c r="B29" s="8" t="s">
        <v>0</v>
      </c>
      <c r="C29" s="5">
        <v>2.6333333333333333</v>
      </c>
    </row>
    <row r="30" spans="2:4" ht="13.8" thickBot="1">
      <c r="B30" s="9" t="s">
        <v>1</v>
      </c>
      <c r="C30" s="3">
        <v>2.6500000000000004</v>
      </c>
    </row>
    <row r="32" spans="2:4" ht="13.8" thickBot="1"/>
    <row r="33" spans="2:5">
      <c r="B33" s="8" t="s">
        <v>0</v>
      </c>
      <c r="C33" s="5">
        <v>2.3333333333333326</v>
      </c>
      <c r="D33" s="5">
        <v>2.9333333333333336</v>
      </c>
    </row>
    <row r="34" spans="2:5" ht="13.8" thickBot="1">
      <c r="B34" s="9" t="s">
        <v>1</v>
      </c>
      <c r="C34" s="3">
        <v>1.3666666666666671</v>
      </c>
      <c r="D34" s="3">
        <v>3.9333333333333336</v>
      </c>
    </row>
    <row r="36" spans="2:5" ht="13.8" thickBot="1"/>
    <row r="37" spans="2:5">
      <c r="B37" s="8" t="s">
        <v>0</v>
      </c>
      <c r="C37" s="5">
        <v>3.25</v>
      </c>
      <c r="D37" s="5">
        <v>2.6</v>
      </c>
      <c r="E37" s="5">
        <v>2.0499999999999998</v>
      </c>
    </row>
    <row r="38" spans="2:5" ht="13.8" thickBot="1">
      <c r="B38" s="9" t="s">
        <v>1</v>
      </c>
      <c r="C38" s="3">
        <v>3.2500000000000004</v>
      </c>
      <c r="D38" s="3">
        <v>2.6000000000000005</v>
      </c>
      <c r="E38" s="3">
        <v>2.1000000000000005</v>
      </c>
    </row>
  </sheetData>
  <pageMargins left="0.7" right="0.7" top="0.75" bottom="0.75" header="0.3" footer="0.3"/>
  <ignoredErrors>
    <ignoredError sqref="B2:B3 B6:B7 B10:B11 B14:B16 B19:B21 B24:B26 B29:B30 B33:B34 B37:B3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2:Q102"/>
  <sheetViews>
    <sheetView tabSelected="1" workbookViewId="0">
      <selection activeCell="D2" sqref="D2:H3"/>
    </sheetView>
  </sheetViews>
  <sheetFormatPr baseColWidth="10" defaultRowHeight="13.2"/>
  <cols>
    <col min="1" max="1" width="19.109375" style="10" customWidth="1"/>
    <col min="2" max="2" width="13.6640625" style="10" customWidth="1"/>
    <col min="3" max="5" width="11.5546875" style="10"/>
    <col min="6" max="9" width="12.109375" style="10" customWidth="1"/>
    <col min="10" max="10" width="9.109375" style="10" customWidth="1"/>
    <col min="11" max="11" width="7.6640625" style="10" customWidth="1"/>
    <col min="12" max="12" width="6.44140625" style="10" customWidth="1"/>
    <col min="13" max="13" width="7.6640625" style="10" customWidth="1"/>
    <col min="14" max="14" width="6.77734375" style="10" customWidth="1"/>
    <col min="15" max="15" width="6" style="10" customWidth="1"/>
    <col min="16" max="16" width="6.33203125" style="10" customWidth="1"/>
    <col min="17" max="17" width="7.33203125" style="10" customWidth="1"/>
    <col min="18" max="16384" width="11.5546875" style="10"/>
  </cols>
  <sheetData>
    <row r="2" spans="1:17" ht="16.2">
      <c r="D2" s="266" t="s">
        <v>182</v>
      </c>
      <c r="E2" s="266"/>
      <c r="F2" s="266"/>
      <c r="G2" s="266"/>
      <c r="H2" s="266"/>
    </row>
    <row r="3" spans="1:17" ht="16.2">
      <c r="D3" s="266" t="s">
        <v>183</v>
      </c>
      <c r="E3" s="266"/>
      <c r="F3" s="266"/>
      <c r="G3" s="266"/>
      <c r="H3" s="266"/>
    </row>
    <row r="5" spans="1:17" ht="13.8" thickBot="1"/>
    <row r="6" spans="1:17" ht="16.2" thickBot="1">
      <c r="A6" s="205" t="s">
        <v>3</v>
      </c>
      <c r="B6" s="206"/>
      <c r="C6" s="206"/>
      <c r="D6" s="206"/>
      <c r="E6" s="207"/>
      <c r="F6" s="203"/>
      <c r="G6" s="203"/>
      <c r="H6" s="203"/>
      <c r="I6" s="203"/>
      <c r="J6" s="203"/>
    </row>
    <row r="7" spans="1:17" ht="15.6">
      <c r="A7" s="208"/>
      <c r="B7" s="209" t="s">
        <v>4</v>
      </c>
      <c r="C7" s="209" t="s">
        <v>5</v>
      </c>
      <c r="D7" s="209" t="s">
        <v>6</v>
      </c>
      <c r="E7" s="210" t="s">
        <v>7</v>
      </c>
      <c r="F7" s="203"/>
      <c r="G7" s="267" t="s">
        <v>8</v>
      </c>
      <c r="H7" s="268"/>
      <c r="I7" s="141"/>
      <c r="J7" s="141"/>
    </row>
    <row r="8" spans="1:17" ht="15.6">
      <c r="A8" s="211" t="s">
        <v>9</v>
      </c>
      <c r="B8" s="214" t="s">
        <v>10</v>
      </c>
      <c r="C8" s="214" t="s">
        <v>11</v>
      </c>
      <c r="D8" s="214" t="s">
        <v>12</v>
      </c>
      <c r="E8" s="212"/>
      <c r="F8" s="203"/>
      <c r="G8" s="269" t="s">
        <v>150</v>
      </c>
      <c r="H8" s="270"/>
      <c r="I8" s="203"/>
      <c r="J8" s="203"/>
    </row>
    <row r="9" spans="1:17" ht="16.2" thickBot="1">
      <c r="A9" s="213" t="s">
        <v>13</v>
      </c>
      <c r="B9" s="215" t="s">
        <v>14</v>
      </c>
      <c r="C9" s="215" t="s">
        <v>15</v>
      </c>
      <c r="D9" s="215" t="s">
        <v>16</v>
      </c>
      <c r="E9" s="216" t="s">
        <v>17</v>
      </c>
      <c r="F9" s="203"/>
      <c r="G9" s="271" t="s">
        <v>18</v>
      </c>
      <c r="H9" s="272"/>
      <c r="I9" s="141"/>
      <c r="J9" s="141"/>
    </row>
    <row r="10" spans="1:17" ht="26.25" customHeight="1">
      <c r="A10" s="189"/>
      <c r="E10" s="217" t="s">
        <v>149</v>
      </c>
      <c r="F10" s="241"/>
      <c r="G10" s="12"/>
      <c r="H10" s="12"/>
      <c r="I10" s="18"/>
      <c r="J10" s="18"/>
      <c r="L10" s="86" t="str">
        <f>C8</f>
        <v>Pol.</v>
      </c>
      <c r="M10" s="86" t="str">
        <f>D8</f>
        <v>Npol.</v>
      </c>
      <c r="N10" s="10" t="s">
        <v>59</v>
      </c>
      <c r="O10" s="10" t="str">
        <f>C9</f>
        <v>Iso.</v>
      </c>
      <c r="P10" s="10" t="str">
        <f>D9</f>
        <v>Lin.</v>
      </c>
      <c r="Q10" s="10" t="str">
        <f>E9</f>
        <v>Nlin.</v>
      </c>
    </row>
    <row r="11" spans="1:17" ht="13.8">
      <c r="A11" s="43" t="s">
        <v>19</v>
      </c>
      <c r="B11" s="96" t="str">
        <f>B8</f>
        <v>Colonne</v>
      </c>
      <c r="C11" s="96" t="str">
        <f>B9</f>
        <v>Elution</v>
      </c>
      <c r="D11" s="43" t="s">
        <v>20</v>
      </c>
      <c r="E11" s="130" t="s">
        <v>21</v>
      </c>
      <c r="F11" s="130" t="s">
        <v>22</v>
      </c>
      <c r="G11" s="130" t="s">
        <v>23</v>
      </c>
      <c r="H11" s="130" t="s">
        <v>24</v>
      </c>
      <c r="I11" s="130" t="s">
        <v>25</v>
      </c>
      <c r="J11" s="204"/>
      <c r="L11" s="10" t="str">
        <f>B8</f>
        <v>Colonne</v>
      </c>
      <c r="M11" s="10" t="str">
        <f>B8</f>
        <v>Colonne</v>
      </c>
      <c r="O11" s="10" t="str">
        <f>B9</f>
        <v>Elution</v>
      </c>
      <c r="P11" s="10" t="str">
        <f>B9</f>
        <v>Elution</v>
      </c>
      <c r="Q11" s="10" t="str">
        <f>B9</f>
        <v>Elution</v>
      </c>
    </row>
    <row r="12" spans="1:17">
      <c r="A12" s="98">
        <v>1</v>
      </c>
      <c r="B12" s="98" t="str">
        <f>C$8</f>
        <v>Pol.</v>
      </c>
      <c r="C12" s="98" t="str">
        <f>C$9</f>
        <v>Iso.</v>
      </c>
      <c r="D12" s="99">
        <f t="shared" ref="D12:D17" si="0">MEDIAN(E12:I12)</f>
        <v>503</v>
      </c>
      <c r="E12" s="101">
        <v>500</v>
      </c>
      <c r="F12" s="101">
        <v>505</v>
      </c>
      <c r="G12" s="101">
        <v>501</v>
      </c>
      <c r="H12" s="101">
        <v>512</v>
      </c>
      <c r="I12" s="101"/>
      <c r="J12" s="204"/>
      <c r="K12" s="10" t="s">
        <v>4</v>
      </c>
      <c r="L12" s="15">
        <f>B20+C20</f>
        <v>588.33333333333337</v>
      </c>
      <c r="M12" s="15">
        <f>B21+C21</f>
        <v>621.33333333333337</v>
      </c>
      <c r="O12" s="15">
        <f>B20+D20</f>
        <v>526.5</v>
      </c>
      <c r="P12" s="15">
        <f>B21+D21</f>
        <v>628.5</v>
      </c>
      <c r="Q12" s="15">
        <f>B22+D22</f>
        <v>659.5</v>
      </c>
    </row>
    <row r="13" spans="1:17">
      <c r="A13" s="98">
        <v>2</v>
      </c>
      <c r="B13" s="98" t="str">
        <f t="shared" ref="B13:B14" si="1">C$8</f>
        <v>Pol.</v>
      </c>
      <c r="C13" s="98" t="str">
        <f>D$9</f>
        <v>Lin.</v>
      </c>
      <c r="D13" s="99">
        <f t="shared" si="0"/>
        <v>612</v>
      </c>
      <c r="E13" s="101">
        <v>612</v>
      </c>
      <c r="F13" s="101">
        <v>610</v>
      </c>
      <c r="G13" s="101">
        <v>612</v>
      </c>
      <c r="H13" s="101">
        <v>616</v>
      </c>
      <c r="I13" s="101"/>
      <c r="J13" s="204"/>
      <c r="K13" s="10" t="s">
        <v>26</v>
      </c>
      <c r="L13" s="15">
        <f>B20</f>
        <v>604.83333333333337</v>
      </c>
      <c r="M13" s="15">
        <f>B20</f>
        <v>604.83333333333337</v>
      </c>
      <c r="N13" s="15">
        <f>B21</f>
        <v>604.83333333333337</v>
      </c>
      <c r="O13" s="15">
        <f>B20</f>
        <v>604.83333333333337</v>
      </c>
      <c r="P13" s="15">
        <f>B20</f>
        <v>604.83333333333337</v>
      </c>
      <c r="Q13" s="15">
        <f>B20</f>
        <v>604.83333333333337</v>
      </c>
    </row>
    <row r="14" spans="1:17">
      <c r="A14" s="98">
        <v>3</v>
      </c>
      <c r="B14" s="98" t="str">
        <f t="shared" si="1"/>
        <v>Pol.</v>
      </c>
      <c r="C14" s="98" t="str">
        <f>E$9</f>
        <v>Nlin.</v>
      </c>
      <c r="D14" s="99">
        <f t="shared" si="0"/>
        <v>650</v>
      </c>
      <c r="E14" s="101">
        <v>650</v>
      </c>
      <c r="F14" s="101">
        <v>650</v>
      </c>
      <c r="G14" s="101">
        <v>645</v>
      </c>
      <c r="H14" s="101">
        <v>655</v>
      </c>
      <c r="I14" s="101"/>
      <c r="J14" s="204"/>
    </row>
    <row r="15" spans="1:17">
      <c r="A15" s="98">
        <v>4</v>
      </c>
      <c r="B15" s="98" t="str">
        <f>D$8</f>
        <v>Npol.</v>
      </c>
      <c r="C15" s="98" t="str">
        <f>C$9</f>
        <v>Iso.</v>
      </c>
      <c r="D15" s="99">
        <f t="shared" si="0"/>
        <v>550</v>
      </c>
      <c r="E15" s="101">
        <v>550</v>
      </c>
      <c r="F15" s="101">
        <v>553</v>
      </c>
      <c r="G15" s="101">
        <v>550</v>
      </c>
      <c r="H15" s="101">
        <v>547</v>
      </c>
      <c r="I15" s="101"/>
      <c r="J15" s="204"/>
    </row>
    <row r="16" spans="1:17">
      <c r="A16" s="98">
        <v>5</v>
      </c>
      <c r="B16" s="98" t="str">
        <f t="shared" ref="B16:B17" si="2">D$8</f>
        <v>Npol.</v>
      </c>
      <c r="C16" s="98" t="str">
        <f>D$9</f>
        <v>Lin.</v>
      </c>
      <c r="D16" s="99">
        <f t="shared" si="0"/>
        <v>645</v>
      </c>
      <c r="E16" s="101">
        <v>640</v>
      </c>
      <c r="F16" s="101">
        <v>645</v>
      </c>
      <c r="G16" s="101">
        <v>650</v>
      </c>
      <c r="H16" s="101">
        <v>645</v>
      </c>
      <c r="I16" s="101"/>
      <c r="J16" s="204"/>
    </row>
    <row r="17" spans="1:14">
      <c r="A17" s="98">
        <v>6</v>
      </c>
      <c r="B17" s="98" t="str">
        <f t="shared" si="2"/>
        <v>Npol.</v>
      </c>
      <c r="C17" s="98" t="str">
        <f>E$9</f>
        <v>Nlin.</v>
      </c>
      <c r="D17" s="99">
        <f t="shared" si="0"/>
        <v>669</v>
      </c>
      <c r="E17" s="101">
        <v>660</v>
      </c>
      <c r="F17" s="101">
        <v>669</v>
      </c>
      <c r="G17" s="101">
        <v>678</v>
      </c>
      <c r="H17" s="101">
        <v>669</v>
      </c>
      <c r="I17" s="101"/>
      <c r="J17" s="204"/>
    </row>
    <row r="18" spans="1:14">
      <c r="B18" s="25"/>
      <c r="C18" s="25"/>
      <c r="D18" s="25"/>
      <c r="F18" s="25"/>
      <c r="G18" s="25"/>
      <c r="H18" s="25"/>
      <c r="I18" s="25"/>
      <c r="J18" s="25"/>
    </row>
    <row r="19" spans="1:14" ht="13.8">
      <c r="A19" s="62" t="s">
        <v>27</v>
      </c>
      <c r="B19" s="63" t="s">
        <v>28</v>
      </c>
      <c r="C19" s="63" t="s">
        <v>29</v>
      </c>
      <c r="D19" s="63" t="s">
        <v>30</v>
      </c>
      <c r="E19" s="25"/>
      <c r="F19" s="242" t="s">
        <v>205</v>
      </c>
      <c r="G19" s="243"/>
      <c r="H19" s="244"/>
      <c r="I19" s="25"/>
      <c r="J19" s="25"/>
    </row>
    <row r="20" spans="1:14" ht="13.8">
      <c r="A20" s="62" t="s">
        <v>31</v>
      </c>
      <c r="B20" s="64">
        <f>(SUM(D12:D17))/6</f>
        <v>604.83333333333337</v>
      </c>
      <c r="C20" s="64">
        <f>((D12+D13+D14)/3)-B20</f>
        <v>-16.5</v>
      </c>
      <c r="D20" s="64">
        <f>((D12+D15)/2)-B20</f>
        <v>-78.333333333333371</v>
      </c>
      <c r="E20" s="25"/>
      <c r="F20" s="245" t="s">
        <v>206</v>
      </c>
      <c r="G20" s="246"/>
      <c r="H20" s="247"/>
      <c r="I20" s="25"/>
      <c r="J20" s="25"/>
    </row>
    <row r="21" spans="1:14" ht="13.8">
      <c r="A21" s="62" t="s">
        <v>32</v>
      </c>
      <c r="B21" s="64">
        <f>(SUM(D12:D17))/6</f>
        <v>604.83333333333337</v>
      </c>
      <c r="C21" s="64">
        <f>((D15+D16+D17)/3)-B21</f>
        <v>16.5</v>
      </c>
      <c r="D21" s="64">
        <f>((D13+D16)/2)-B21</f>
        <v>23.666666666666629</v>
      </c>
      <c r="E21" s="25"/>
      <c r="F21" s="25"/>
      <c r="G21" s="25"/>
      <c r="H21" s="25"/>
      <c r="I21" s="25"/>
      <c r="J21" s="25"/>
    </row>
    <row r="22" spans="1:14" ht="13.8">
      <c r="A22" s="62" t="s">
        <v>33</v>
      </c>
      <c r="B22" s="64">
        <f>(SUM(D12:D17))/6</f>
        <v>604.83333333333337</v>
      </c>
      <c r="C22" s="64"/>
      <c r="D22" s="64">
        <f>((D14+D17)/2)-B22</f>
        <v>54.666666666666629</v>
      </c>
      <c r="E22" s="25"/>
      <c r="F22" s="25"/>
      <c r="G22" s="25"/>
      <c r="H22" s="25"/>
      <c r="I22" s="25"/>
      <c r="J22" s="25"/>
    </row>
    <row r="23" spans="1:14">
      <c r="B23" s="25"/>
      <c r="C23" s="25"/>
      <c r="D23" s="28"/>
      <c r="E23" s="25"/>
      <c r="F23" s="25"/>
      <c r="G23" s="25"/>
      <c r="H23" s="25"/>
      <c r="I23" s="25"/>
      <c r="J23" s="25"/>
    </row>
    <row r="24" spans="1:14">
      <c r="A24" s="65"/>
      <c r="B24" s="65"/>
      <c r="C24" s="65"/>
      <c r="D24" s="66"/>
      <c r="E24" s="65"/>
      <c r="F24" s="65"/>
      <c r="G24" s="65"/>
      <c r="H24" s="65"/>
      <c r="I24" s="65"/>
      <c r="J24" s="25"/>
    </row>
    <row r="25" spans="1:14">
      <c r="A25" s="161" t="s">
        <v>172</v>
      </c>
      <c r="B25" s="65"/>
      <c r="C25" s="65"/>
      <c r="D25" s="66"/>
      <c r="E25" s="65"/>
      <c r="F25" s="65"/>
      <c r="G25" s="65"/>
      <c r="H25" s="65"/>
      <c r="I25" s="65"/>
      <c r="J25" s="25"/>
      <c r="M25" s="10" t="str">
        <f>B8</f>
        <v>Colonne</v>
      </c>
      <c r="N25" s="10" t="str">
        <f>B8</f>
        <v>Colonne</v>
      </c>
    </row>
    <row r="26" spans="1:14" ht="15">
      <c r="A26" s="151"/>
      <c r="B26" s="234" t="s">
        <v>250</v>
      </c>
      <c r="C26" s="234" t="s">
        <v>187</v>
      </c>
      <c r="D26" s="119" t="s">
        <v>188</v>
      </c>
      <c r="E26" s="235" t="s">
        <v>189</v>
      </c>
      <c r="F26" s="235" t="s">
        <v>190</v>
      </c>
      <c r="G26" s="151"/>
      <c r="H26" s="65"/>
      <c r="I26" s="65"/>
      <c r="J26" s="25"/>
      <c r="M26" s="86" t="str">
        <f>C8</f>
        <v>Pol.</v>
      </c>
      <c r="N26" s="86" t="str">
        <f>D8</f>
        <v>Npol.</v>
      </c>
    </row>
    <row r="27" spans="1:14" ht="15">
      <c r="A27" s="152"/>
      <c r="B27" s="202" t="s">
        <v>21</v>
      </c>
      <c r="C27" s="202" t="s">
        <v>160</v>
      </c>
      <c r="D27" s="71" t="s">
        <v>163</v>
      </c>
      <c r="E27" s="200">
        <f t="shared" ref="E27:E32" si="3">IF(E12="","",E12)</f>
        <v>500</v>
      </c>
      <c r="F27" s="202" t="str">
        <f>IF(E27="","",CONCATENATE(C27,"_",D27))</f>
        <v>A1_B1</v>
      </c>
      <c r="G27" s="152"/>
      <c r="H27" s="152"/>
      <c r="I27" s="65"/>
      <c r="J27" s="25"/>
      <c r="K27" s="10" t="str">
        <f>C9</f>
        <v>Iso.</v>
      </c>
      <c r="L27" s="10" t="str">
        <f>B9</f>
        <v>Elution</v>
      </c>
      <c r="M27" s="10">
        <f>D12</f>
        <v>503</v>
      </c>
      <c r="N27" s="10">
        <f>D15</f>
        <v>550</v>
      </c>
    </row>
    <row r="28" spans="1:14" ht="13.8">
      <c r="A28" s="218"/>
      <c r="B28" s="78" t="s">
        <v>21</v>
      </c>
      <c r="C28" s="78" t="s">
        <v>160</v>
      </c>
      <c r="D28" s="67" t="s">
        <v>164</v>
      </c>
      <c r="E28" s="164">
        <f t="shared" si="3"/>
        <v>612</v>
      </c>
      <c r="F28" s="78" t="str">
        <f t="shared" ref="F28:F56" si="4">IF(E28="","",CONCATENATE(C28,"_",D28))</f>
        <v>A1_B2</v>
      </c>
      <c r="G28" s="149"/>
      <c r="H28" s="219"/>
      <c r="I28" s="65"/>
      <c r="J28" s="25"/>
      <c r="K28" s="10" t="str">
        <f>D9</f>
        <v>Lin.</v>
      </c>
      <c r="L28" s="10" t="str">
        <f>B9</f>
        <v>Elution</v>
      </c>
      <c r="M28" s="10">
        <f>D13</f>
        <v>612</v>
      </c>
      <c r="N28" s="10">
        <f>D16</f>
        <v>645</v>
      </c>
    </row>
    <row r="29" spans="1:14" ht="13.8">
      <c r="A29" s="218"/>
      <c r="B29" s="78" t="s">
        <v>21</v>
      </c>
      <c r="C29" s="78" t="s">
        <v>160</v>
      </c>
      <c r="D29" s="67" t="s">
        <v>165</v>
      </c>
      <c r="E29" s="164">
        <f t="shared" si="3"/>
        <v>650</v>
      </c>
      <c r="F29" s="78" t="str">
        <f t="shared" si="4"/>
        <v>A1_B3</v>
      </c>
      <c r="G29" s="149"/>
      <c r="H29" s="219"/>
      <c r="I29" s="65"/>
      <c r="J29" s="25"/>
      <c r="K29" s="10" t="str">
        <f>E9</f>
        <v>Nlin.</v>
      </c>
      <c r="L29" s="10" t="str">
        <f>B9</f>
        <v>Elution</v>
      </c>
      <c r="M29" s="10">
        <f>D14</f>
        <v>650</v>
      </c>
      <c r="N29" s="10">
        <f>D17</f>
        <v>669</v>
      </c>
    </row>
    <row r="30" spans="1:14" ht="13.8">
      <c r="A30" s="220"/>
      <c r="B30" s="79" t="s">
        <v>21</v>
      </c>
      <c r="C30" s="79" t="s">
        <v>161</v>
      </c>
      <c r="D30" s="67" t="s">
        <v>163</v>
      </c>
      <c r="E30" s="164">
        <f t="shared" si="3"/>
        <v>550</v>
      </c>
      <c r="F30" s="78" t="str">
        <f t="shared" si="4"/>
        <v>A2_B1</v>
      </c>
      <c r="G30" s="149"/>
      <c r="H30" s="219"/>
      <c r="I30" s="65"/>
      <c r="J30" s="25"/>
    </row>
    <row r="31" spans="1:14" ht="13.8">
      <c r="A31" s="150"/>
      <c r="B31" s="79" t="s">
        <v>21</v>
      </c>
      <c r="C31" s="79" t="s">
        <v>161</v>
      </c>
      <c r="D31" s="67" t="s">
        <v>164</v>
      </c>
      <c r="E31" s="164">
        <f t="shared" si="3"/>
        <v>640</v>
      </c>
      <c r="F31" s="78" t="str">
        <f t="shared" si="4"/>
        <v>A2_B2</v>
      </c>
      <c r="G31" s="150"/>
      <c r="H31" s="65"/>
      <c r="I31" s="65"/>
      <c r="J31" s="25"/>
    </row>
    <row r="32" spans="1:14" ht="13.8">
      <c r="A32" s="150"/>
      <c r="B32" s="115" t="s">
        <v>21</v>
      </c>
      <c r="C32" s="115" t="s">
        <v>161</v>
      </c>
      <c r="D32" s="110" t="s">
        <v>165</v>
      </c>
      <c r="E32" s="201">
        <f t="shared" si="3"/>
        <v>660</v>
      </c>
      <c r="F32" s="236" t="str">
        <f t="shared" si="4"/>
        <v>A2_B3</v>
      </c>
      <c r="G32" s="150"/>
      <c r="H32" s="65"/>
      <c r="I32" s="65"/>
    </row>
    <row r="33" spans="1:10">
      <c r="A33" s="65"/>
      <c r="B33" s="202" t="s">
        <v>22</v>
      </c>
      <c r="C33" s="78" t="s">
        <v>160</v>
      </c>
      <c r="D33" s="71" t="s">
        <v>163</v>
      </c>
      <c r="E33" s="164">
        <f t="shared" ref="E33:E38" si="5">IF(F12="","",F12)</f>
        <v>505</v>
      </c>
      <c r="F33" s="202" t="str">
        <f t="shared" si="4"/>
        <v>A1_B1</v>
      </c>
      <c r="G33" s="65"/>
      <c r="H33" s="65"/>
      <c r="I33" s="65"/>
      <c r="J33" s="25"/>
    </row>
    <row r="34" spans="1:10">
      <c r="A34" s="65"/>
      <c r="B34" s="78" t="s">
        <v>22</v>
      </c>
      <c r="C34" s="78" t="s">
        <v>160</v>
      </c>
      <c r="D34" s="67" t="s">
        <v>164</v>
      </c>
      <c r="E34" s="164">
        <f t="shared" si="5"/>
        <v>610</v>
      </c>
      <c r="F34" s="78" t="str">
        <f t="shared" si="4"/>
        <v>A1_B2</v>
      </c>
      <c r="G34" s="65"/>
      <c r="H34" s="65"/>
      <c r="I34" s="65"/>
      <c r="J34" s="25"/>
    </row>
    <row r="35" spans="1:10" ht="15" customHeight="1">
      <c r="A35" s="25"/>
      <c r="B35" s="78" t="s">
        <v>22</v>
      </c>
      <c r="C35" s="78" t="s">
        <v>160</v>
      </c>
      <c r="D35" s="67" t="s">
        <v>165</v>
      </c>
      <c r="E35" s="164">
        <f t="shared" si="5"/>
        <v>650</v>
      </c>
      <c r="F35" s="78" t="str">
        <f t="shared" si="4"/>
        <v>A1_B3</v>
      </c>
      <c r="G35" s="25"/>
      <c r="H35" s="25"/>
      <c r="I35" s="25"/>
      <c r="J35" s="25"/>
    </row>
    <row r="36" spans="1:10" ht="15" customHeight="1">
      <c r="A36" s="25"/>
      <c r="B36" s="79" t="s">
        <v>22</v>
      </c>
      <c r="C36" s="79" t="s">
        <v>161</v>
      </c>
      <c r="D36" s="67" t="s">
        <v>163</v>
      </c>
      <c r="E36" s="164">
        <f t="shared" si="5"/>
        <v>553</v>
      </c>
      <c r="F36" s="78" t="str">
        <f t="shared" si="4"/>
        <v>A2_B1</v>
      </c>
      <c r="G36" s="25"/>
      <c r="H36" s="25"/>
      <c r="I36" s="25"/>
      <c r="J36" s="25"/>
    </row>
    <row r="37" spans="1:10" ht="15" customHeight="1">
      <c r="A37" s="25"/>
      <c r="B37" s="79" t="s">
        <v>22</v>
      </c>
      <c r="C37" s="79" t="s">
        <v>161</v>
      </c>
      <c r="D37" s="67" t="s">
        <v>164</v>
      </c>
      <c r="E37" s="164">
        <f t="shared" si="5"/>
        <v>645</v>
      </c>
      <c r="F37" s="78" t="str">
        <f t="shared" si="4"/>
        <v>A2_B2</v>
      </c>
      <c r="G37" s="25"/>
      <c r="H37" s="25"/>
      <c r="I37" s="25"/>
      <c r="J37" s="25"/>
    </row>
    <row r="38" spans="1:10" ht="15" customHeight="1">
      <c r="A38" s="25"/>
      <c r="B38" s="115" t="s">
        <v>22</v>
      </c>
      <c r="C38" s="115" t="s">
        <v>161</v>
      </c>
      <c r="D38" s="110" t="s">
        <v>165</v>
      </c>
      <c r="E38" s="201">
        <f t="shared" si="5"/>
        <v>669</v>
      </c>
      <c r="F38" s="236" t="str">
        <f t="shared" si="4"/>
        <v>A2_B3</v>
      </c>
      <c r="G38" s="25"/>
      <c r="H38" s="25"/>
      <c r="I38" s="25"/>
      <c r="J38" s="25"/>
    </row>
    <row r="39" spans="1:10" ht="15" customHeight="1">
      <c r="A39" s="25"/>
      <c r="B39" s="202" t="s">
        <v>23</v>
      </c>
      <c r="C39" s="78" t="s">
        <v>160</v>
      </c>
      <c r="D39" s="71" t="s">
        <v>163</v>
      </c>
      <c r="E39" s="164">
        <f t="shared" ref="E39:E44" si="6">IF(G12="","",G12)</f>
        <v>501</v>
      </c>
      <c r="F39" s="202" t="str">
        <f t="shared" si="4"/>
        <v>A1_B1</v>
      </c>
      <c r="G39" s="25"/>
      <c r="H39" s="25"/>
      <c r="I39" s="25"/>
      <c r="J39" s="25"/>
    </row>
    <row r="40" spans="1:10">
      <c r="A40" s="25"/>
      <c r="B40" s="78" t="s">
        <v>23</v>
      </c>
      <c r="C40" s="78" t="s">
        <v>160</v>
      </c>
      <c r="D40" s="67" t="s">
        <v>164</v>
      </c>
      <c r="E40" s="164">
        <f t="shared" si="6"/>
        <v>612</v>
      </c>
      <c r="F40" s="78" t="str">
        <f t="shared" si="4"/>
        <v>A1_B2</v>
      </c>
      <c r="G40" s="25"/>
      <c r="H40" s="25"/>
      <c r="I40" s="25"/>
      <c r="J40" s="25"/>
    </row>
    <row r="41" spans="1:10">
      <c r="A41" s="25"/>
      <c r="B41" s="78" t="s">
        <v>23</v>
      </c>
      <c r="C41" s="78" t="s">
        <v>160</v>
      </c>
      <c r="D41" s="67" t="s">
        <v>165</v>
      </c>
      <c r="E41" s="164">
        <f t="shared" si="6"/>
        <v>645</v>
      </c>
      <c r="F41" s="78" t="str">
        <f t="shared" si="4"/>
        <v>A1_B3</v>
      </c>
      <c r="G41" s="25"/>
      <c r="H41" s="25"/>
      <c r="I41" s="25"/>
      <c r="J41" s="25"/>
    </row>
    <row r="42" spans="1:10">
      <c r="A42" s="25"/>
      <c r="B42" s="79" t="s">
        <v>23</v>
      </c>
      <c r="C42" s="79" t="s">
        <v>161</v>
      </c>
      <c r="D42" s="67" t="s">
        <v>163</v>
      </c>
      <c r="E42" s="164">
        <f t="shared" si="6"/>
        <v>550</v>
      </c>
      <c r="F42" s="78" t="str">
        <f t="shared" si="4"/>
        <v>A2_B1</v>
      </c>
      <c r="G42" s="25"/>
      <c r="H42" s="25"/>
      <c r="I42" s="25"/>
      <c r="J42" s="25"/>
    </row>
    <row r="43" spans="1:10">
      <c r="B43" s="79" t="s">
        <v>23</v>
      </c>
      <c r="C43" s="79" t="s">
        <v>161</v>
      </c>
      <c r="D43" s="67" t="s">
        <v>164</v>
      </c>
      <c r="E43" s="164">
        <f t="shared" si="6"/>
        <v>650</v>
      </c>
      <c r="F43" s="78" t="str">
        <f t="shared" si="4"/>
        <v>A2_B2</v>
      </c>
    </row>
    <row r="44" spans="1:10">
      <c r="B44" s="115" t="s">
        <v>23</v>
      </c>
      <c r="C44" s="115" t="s">
        <v>161</v>
      </c>
      <c r="D44" s="110" t="s">
        <v>165</v>
      </c>
      <c r="E44" s="201">
        <f t="shared" si="6"/>
        <v>678</v>
      </c>
      <c r="F44" s="236" t="str">
        <f t="shared" si="4"/>
        <v>A2_B3</v>
      </c>
    </row>
    <row r="45" spans="1:10">
      <c r="B45" s="202" t="s">
        <v>24</v>
      </c>
      <c r="C45" s="78" t="s">
        <v>160</v>
      </c>
      <c r="D45" s="71" t="s">
        <v>163</v>
      </c>
      <c r="E45" s="164">
        <f t="shared" ref="E45:E50" si="7">IF(H12="","",H12)</f>
        <v>512</v>
      </c>
      <c r="F45" s="202" t="str">
        <f t="shared" si="4"/>
        <v>A1_B1</v>
      </c>
    </row>
    <row r="46" spans="1:10">
      <c r="B46" s="78" t="s">
        <v>24</v>
      </c>
      <c r="C46" s="78" t="s">
        <v>160</v>
      </c>
      <c r="D46" s="67" t="s">
        <v>164</v>
      </c>
      <c r="E46" s="164">
        <f t="shared" si="7"/>
        <v>616</v>
      </c>
      <c r="F46" s="78" t="str">
        <f t="shared" si="4"/>
        <v>A1_B2</v>
      </c>
    </row>
    <row r="47" spans="1:10">
      <c r="B47" s="78" t="s">
        <v>24</v>
      </c>
      <c r="C47" s="78" t="s">
        <v>160</v>
      </c>
      <c r="D47" s="67" t="s">
        <v>165</v>
      </c>
      <c r="E47" s="164">
        <f t="shared" si="7"/>
        <v>655</v>
      </c>
      <c r="F47" s="78" t="str">
        <f t="shared" si="4"/>
        <v>A1_B3</v>
      </c>
    </row>
    <row r="48" spans="1:10">
      <c r="B48" s="79" t="s">
        <v>24</v>
      </c>
      <c r="C48" s="79" t="s">
        <v>161</v>
      </c>
      <c r="D48" s="67" t="s">
        <v>163</v>
      </c>
      <c r="E48" s="164">
        <f t="shared" si="7"/>
        <v>547</v>
      </c>
      <c r="F48" s="78" t="str">
        <f t="shared" si="4"/>
        <v>A2_B1</v>
      </c>
    </row>
    <row r="49" spans="1:8">
      <c r="B49" s="79" t="s">
        <v>24</v>
      </c>
      <c r="C49" s="79" t="s">
        <v>161</v>
      </c>
      <c r="D49" s="67" t="s">
        <v>164</v>
      </c>
      <c r="E49" s="164">
        <f t="shared" si="7"/>
        <v>645</v>
      </c>
      <c r="F49" s="78" t="str">
        <f t="shared" si="4"/>
        <v>A2_B2</v>
      </c>
    </row>
    <row r="50" spans="1:8">
      <c r="B50" s="115" t="s">
        <v>24</v>
      </c>
      <c r="C50" s="115" t="s">
        <v>161</v>
      </c>
      <c r="D50" s="110" t="s">
        <v>165</v>
      </c>
      <c r="E50" s="201">
        <f t="shared" si="7"/>
        <v>669</v>
      </c>
      <c r="F50" s="236" t="str">
        <f t="shared" si="4"/>
        <v>A2_B3</v>
      </c>
    </row>
    <row r="51" spans="1:8">
      <c r="B51" s="202" t="s">
        <v>25</v>
      </c>
      <c r="C51" s="78" t="s">
        <v>160</v>
      </c>
      <c r="D51" s="71" t="s">
        <v>163</v>
      </c>
      <c r="E51" s="164" t="str">
        <f t="shared" ref="E51:E56" si="8">IF(I12="","",I12)</f>
        <v/>
      </c>
      <c r="F51" s="202" t="str">
        <f t="shared" si="4"/>
        <v/>
      </c>
    </row>
    <row r="52" spans="1:8">
      <c r="B52" s="78" t="s">
        <v>25</v>
      </c>
      <c r="C52" s="78" t="s">
        <v>160</v>
      </c>
      <c r="D52" s="67" t="s">
        <v>164</v>
      </c>
      <c r="E52" s="164" t="str">
        <f t="shared" si="8"/>
        <v/>
      </c>
      <c r="F52" s="78" t="str">
        <f t="shared" si="4"/>
        <v/>
      </c>
    </row>
    <row r="53" spans="1:8">
      <c r="B53" s="78" t="s">
        <v>25</v>
      </c>
      <c r="C53" s="78" t="s">
        <v>160</v>
      </c>
      <c r="D53" s="67" t="s">
        <v>165</v>
      </c>
      <c r="E53" s="164" t="str">
        <f t="shared" si="8"/>
        <v/>
      </c>
      <c r="F53" s="78" t="str">
        <f t="shared" si="4"/>
        <v/>
      </c>
    </row>
    <row r="54" spans="1:8">
      <c r="B54" s="79" t="s">
        <v>25</v>
      </c>
      <c r="C54" s="79" t="s">
        <v>161</v>
      </c>
      <c r="D54" s="67" t="s">
        <v>163</v>
      </c>
      <c r="E54" s="164" t="str">
        <f t="shared" si="8"/>
        <v/>
      </c>
      <c r="F54" s="78" t="str">
        <f t="shared" si="4"/>
        <v/>
      </c>
    </row>
    <row r="55" spans="1:8">
      <c r="B55" s="79" t="s">
        <v>25</v>
      </c>
      <c r="C55" s="79" t="s">
        <v>161</v>
      </c>
      <c r="D55" s="67" t="s">
        <v>164</v>
      </c>
      <c r="E55" s="164" t="str">
        <f t="shared" si="8"/>
        <v/>
      </c>
      <c r="F55" s="78" t="str">
        <f t="shared" si="4"/>
        <v/>
      </c>
    </row>
    <row r="56" spans="1:8">
      <c r="B56" s="115" t="s">
        <v>25</v>
      </c>
      <c r="C56" s="115" t="s">
        <v>161</v>
      </c>
      <c r="D56" s="110" t="s">
        <v>165</v>
      </c>
      <c r="E56" s="201" t="str">
        <f t="shared" si="8"/>
        <v/>
      </c>
      <c r="F56" s="236" t="str">
        <f t="shared" si="4"/>
        <v/>
      </c>
    </row>
    <row r="59" spans="1:8" ht="14.4">
      <c r="A59" s="237" t="s">
        <v>191</v>
      </c>
      <c r="B59" s="238"/>
      <c r="C59" s="238"/>
      <c r="D59" s="238"/>
      <c r="E59" s="238"/>
      <c r="F59" s="238"/>
      <c r="G59" s="238"/>
      <c r="H59" s="238"/>
    </row>
    <row r="61" spans="1:8">
      <c r="B61" s="35" t="s">
        <v>192</v>
      </c>
    </row>
    <row r="62" spans="1:8">
      <c r="B62" s="35"/>
      <c r="C62" s="35" t="s">
        <v>193</v>
      </c>
    </row>
    <row r="64" spans="1:8">
      <c r="B64" s="24" t="s">
        <v>194</v>
      </c>
    </row>
    <row r="65" spans="2:8">
      <c r="B65" s="239" t="s">
        <v>195</v>
      </c>
    </row>
    <row r="66" spans="2:8" ht="13.8">
      <c r="C66" s="240" t="s">
        <v>196</v>
      </c>
      <c r="D66" s="238"/>
      <c r="E66" s="238"/>
      <c r="F66" s="238"/>
      <c r="G66" s="238"/>
      <c r="H66" s="238"/>
    </row>
    <row r="67" spans="2:8" ht="13.8">
      <c r="C67" s="240" t="s">
        <v>197</v>
      </c>
      <c r="D67" s="238"/>
      <c r="E67" s="238"/>
      <c r="F67" s="238"/>
      <c r="G67" s="238"/>
      <c r="H67" s="238"/>
    </row>
    <row r="68" spans="2:8" ht="13.8">
      <c r="C68" s="240" t="s">
        <v>198</v>
      </c>
      <c r="D68" s="238"/>
      <c r="E68" s="238"/>
      <c r="F68" s="238"/>
      <c r="G68" s="238"/>
      <c r="H68" s="238"/>
    </row>
    <row r="70" spans="2:8">
      <c r="B70" s="239" t="s">
        <v>199</v>
      </c>
    </row>
    <row r="71" spans="2:8">
      <c r="B71" s="35" t="s">
        <v>200</v>
      </c>
    </row>
    <row r="72" spans="2:8" ht="13.8">
      <c r="B72" s="35"/>
      <c r="C72" s="240" t="s">
        <v>202</v>
      </c>
      <c r="D72" s="238"/>
      <c r="E72" s="238"/>
      <c r="F72" s="238"/>
      <c r="G72" s="238"/>
      <c r="H72" s="238"/>
    </row>
    <row r="73" spans="2:8" ht="13.8">
      <c r="B73" s="35"/>
      <c r="C73" s="240" t="s">
        <v>203</v>
      </c>
      <c r="D73" s="238"/>
      <c r="E73" s="238"/>
      <c r="F73" s="238"/>
      <c r="G73" s="238"/>
      <c r="H73" s="238"/>
    </row>
    <row r="74" spans="2:8">
      <c r="B74" s="35"/>
    </row>
    <row r="75" spans="2:8">
      <c r="B75" s="35" t="s">
        <v>201</v>
      </c>
    </row>
    <row r="76" spans="2:8">
      <c r="B76" s="35"/>
      <c r="C76" s="35" t="s">
        <v>238</v>
      </c>
    </row>
    <row r="77" spans="2:8">
      <c r="B77" s="35"/>
      <c r="C77" s="263" t="s">
        <v>239</v>
      </c>
    </row>
    <row r="78" spans="2:8">
      <c r="B78" s="35"/>
      <c r="C78" s="35" t="s">
        <v>244</v>
      </c>
    </row>
    <row r="79" spans="2:8">
      <c r="B79" s="35"/>
      <c r="C79" s="263" t="s">
        <v>240</v>
      </c>
    </row>
    <row r="80" spans="2:8">
      <c r="B80" s="35"/>
      <c r="C80" s="35" t="s">
        <v>241</v>
      </c>
    </row>
    <row r="81" spans="2:8">
      <c r="B81" s="35"/>
      <c r="C81" s="35" t="s">
        <v>242</v>
      </c>
    </row>
    <row r="82" spans="2:8">
      <c r="B82" s="35"/>
      <c r="C82" s="35"/>
    </row>
    <row r="83" spans="2:8">
      <c r="B83" s="35"/>
      <c r="C83" s="35" t="s">
        <v>243</v>
      </c>
    </row>
    <row r="84" spans="2:8" ht="13.8">
      <c r="C84" s="240" t="s">
        <v>204</v>
      </c>
      <c r="D84" s="238"/>
      <c r="E84" s="238"/>
      <c r="F84" s="238"/>
      <c r="G84" s="238"/>
      <c r="H84" s="238"/>
    </row>
    <row r="85" spans="2:8" ht="13.8">
      <c r="C85" s="240" t="s">
        <v>197</v>
      </c>
      <c r="D85" s="238"/>
      <c r="E85" s="238"/>
      <c r="F85" s="238"/>
      <c r="G85" s="238"/>
      <c r="H85" s="238"/>
    </row>
    <row r="86" spans="2:8" ht="13.8">
      <c r="C86" s="240" t="s">
        <v>198</v>
      </c>
      <c r="D86" s="238"/>
      <c r="E86" s="238"/>
      <c r="F86" s="238"/>
      <c r="G86" s="238"/>
      <c r="H86" s="238"/>
    </row>
    <row r="88" spans="2:8">
      <c r="C88" s="35" t="s">
        <v>245</v>
      </c>
    </row>
    <row r="89" spans="2:8" ht="13.8">
      <c r="C89" s="240" t="s">
        <v>246</v>
      </c>
      <c r="D89" s="238"/>
      <c r="E89" s="238"/>
      <c r="F89" s="238"/>
      <c r="G89" s="238"/>
      <c r="H89" s="238"/>
    </row>
    <row r="90" spans="2:8" ht="13.8">
      <c r="C90" s="240" t="s">
        <v>202</v>
      </c>
      <c r="D90" s="238"/>
      <c r="E90" s="238"/>
      <c r="F90" s="238"/>
      <c r="G90" s="238"/>
      <c r="H90" s="238"/>
    </row>
    <row r="91" spans="2:8" ht="13.8">
      <c r="C91" s="240" t="s">
        <v>247</v>
      </c>
      <c r="D91" s="238"/>
      <c r="E91" s="238"/>
      <c r="F91" s="238"/>
      <c r="G91" s="238"/>
      <c r="H91" s="238"/>
    </row>
    <row r="92" spans="2:8" ht="13.8">
      <c r="C92" s="240" t="s">
        <v>197</v>
      </c>
      <c r="D92" s="238"/>
      <c r="E92" s="238"/>
      <c r="F92" s="238"/>
      <c r="G92" s="238"/>
      <c r="H92" s="238"/>
    </row>
    <row r="93" spans="2:8" ht="13.8">
      <c r="C93" s="240" t="s">
        <v>248</v>
      </c>
      <c r="D93" s="238"/>
      <c r="E93" s="238"/>
      <c r="F93" s="238"/>
      <c r="G93" s="238"/>
      <c r="H93" s="238"/>
    </row>
    <row r="95" spans="2:8">
      <c r="B95" s="35" t="s">
        <v>258</v>
      </c>
    </row>
    <row r="96" spans="2:8" ht="13.8">
      <c r="C96" s="240" t="s">
        <v>249</v>
      </c>
      <c r="D96" s="240"/>
      <c r="E96" s="240"/>
      <c r="F96" s="240"/>
      <c r="G96" s="240"/>
      <c r="H96" s="240"/>
    </row>
    <row r="97" spans="1:8" ht="13.8">
      <c r="C97" s="240" t="s">
        <v>273</v>
      </c>
      <c r="D97" s="240"/>
      <c r="E97" s="240"/>
      <c r="F97" s="240"/>
      <c r="G97" s="240"/>
      <c r="H97" s="240"/>
    </row>
    <row r="98" spans="1:8" ht="13.8">
      <c r="C98" s="240" t="s">
        <v>260</v>
      </c>
      <c r="D98" s="240"/>
      <c r="E98" s="240"/>
      <c r="F98" s="240"/>
      <c r="G98" s="240"/>
      <c r="H98" s="240"/>
    </row>
    <row r="102" spans="1:8">
      <c r="A102" s="264" t="s">
        <v>284</v>
      </c>
    </row>
  </sheetData>
  <sheetProtection sheet="1" objects="1" scenarios="1" formatCells="0"/>
  <mergeCells count="5">
    <mergeCell ref="D2:H2"/>
    <mergeCell ref="D3:H3"/>
    <mergeCell ref="G7:H7"/>
    <mergeCell ref="G8:H8"/>
    <mergeCell ref="G9:H9"/>
  </mergeCells>
  <phoneticPr fontId="6" type="noConversion"/>
  <hyperlinks>
    <hyperlink ref="A102" r:id="rId1"/>
  </hyperlinks>
  <printOptions gridLines="1" gridLinesSet="0"/>
  <pageMargins left="0.78740157499999996" right="0.78740157499999996" top="0.984251969" bottom="0.984251969" header="0.4921259845" footer="0.4921259845"/>
  <pageSetup paperSize="9" orientation="portrait" horizontalDpi="360" verticalDpi="360" r:id="rId2"/>
  <headerFooter alignWithMargins="0">
    <oddHeader>&amp;A</oddHeader>
    <oddFooter>Page &amp;P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2:S121"/>
  <sheetViews>
    <sheetView workbookViewId="0">
      <selection activeCell="D2" sqref="D2:H3"/>
    </sheetView>
  </sheetViews>
  <sheetFormatPr baseColWidth="10" defaultRowHeight="13.2"/>
  <cols>
    <col min="1" max="1" width="17.109375" style="10" customWidth="1"/>
    <col min="2" max="2" width="13.109375" style="10" customWidth="1"/>
    <col min="3" max="4" width="11.5546875" style="10"/>
    <col min="5" max="5" width="12.109375" style="10" customWidth="1"/>
    <col min="6" max="7" width="11.5546875" style="10"/>
    <col min="8" max="8" width="12.44140625" style="10" bestFit="1" customWidth="1"/>
    <col min="9" max="10" width="11.5546875" style="10"/>
    <col min="11" max="11" width="7.6640625" style="10" customWidth="1"/>
    <col min="12" max="12" width="6.44140625" style="10" customWidth="1"/>
    <col min="13" max="14" width="7.6640625" style="10" customWidth="1"/>
    <col min="15" max="15" width="7.77734375" style="10" customWidth="1"/>
    <col min="16" max="16" width="6" style="10" customWidth="1"/>
    <col min="17" max="17" width="6.33203125" style="10" customWidth="1"/>
    <col min="18" max="18" width="7.33203125" style="10" customWidth="1"/>
    <col min="19" max="19" width="1.77734375" style="10" customWidth="1"/>
    <col min="20" max="16384" width="11.5546875" style="10"/>
  </cols>
  <sheetData>
    <row r="2" spans="1:19" ht="16.2">
      <c r="D2" s="266" t="s">
        <v>182</v>
      </c>
      <c r="E2" s="266"/>
      <c r="F2" s="266"/>
      <c r="G2" s="266"/>
      <c r="H2" s="266"/>
    </row>
    <row r="3" spans="1:19" ht="16.2">
      <c r="D3" s="266" t="s">
        <v>158</v>
      </c>
      <c r="E3" s="266"/>
      <c r="F3" s="266"/>
      <c r="G3" s="266"/>
      <c r="H3" s="266"/>
    </row>
    <row r="4" spans="1:19" ht="13.8" thickBot="1"/>
    <row r="5" spans="1:19" ht="14.4" thickBot="1">
      <c r="A5" s="95" t="s">
        <v>3</v>
      </c>
      <c r="B5" s="39"/>
      <c r="C5" s="39"/>
      <c r="D5" s="39"/>
      <c r="E5" s="50"/>
      <c r="F5" s="11"/>
      <c r="G5" s="11"/>
      <c r="H5" s="11"/>
      <c r="I5" s="11"/>
    </row>
    <row r="6" spans="1:19" ht="13.8">
      <c r="A6" s="40"/>
      <c r="B6" s="41" t="s">
        <v>4</v>
      </c>
      <c r="C6" s="41" t="s">
        <v>5</v>
      </c>
      <c r="D6" s="41" t="s">
        <v>6</v>
      </c>
      <c r="E6" s="51" t="s">
        <v>7</v>
      </c>
      <c r="F6" s="11"/>
      <c r="G6" s="267" t="s">
        <v>8</v>
      </c>
      <c r="H6" s="268"/>
      <c r="I6" s="120"/>
      <c r="J6" s="25"/>
    </row>
    <row r="7" spans="1:19" ht="13.8">
      <c r="A7" s="127" t="s">
        <v>9</v>
      </c>
      <c r="B7" s="191" t="s">
        <v>34</v>
      </c>
      <c r="C7" s="192" t="s">
        <v>35</v>
      </c>
      <c r="D7" s="192" t="s">
        <v>36</v>
      </c>
      <c r="E7" s="193" t="s">
        <v>37</v>
      </c>
      <c r="F7" s="11"/>
      <c r="G7" s="269" t="s">
        <v>150</v>
      </c>
      <c r="H7" s="270"/>
      <c r="I7" s="11"/>
      <c r="J7" s="25"/>
    </row>
    <row r="8" spans="1:19" ht="14.4" thickBot="1">
      <c r="A8" s="129" t="s">
        <v>13</v>
      </c>
      <c r="B8" s="194" t="s">
        <v>38</v>
      </c>
      <c r="C8" s="195" t="s">
        <v>39</v>
      </c>
      <c r="D8" s="195" t="s">
        <v>40</v>
      </c>
      <c r="E8" s="196" t="s">
        <v>41</v>
      </c>
      <c r="F8" s="11"/>
      <c r="G8" s="271" t="s">
        <v>18</v>
      </c>
      <c r="H8" s="272"/>
      <c r="I8" s="11"/>
      <c r="J8" s="25"/>
    </row>
    <row r="9" spans="1:19" ht="27" customHeight="1">
      <c r="A9" s="189"/>
      <c r="E9" s="185" t="s">
        <v>149</v>
      </c>
      <c r="F9" s="17"/>
      <c r="G9" s="18"/>
      <c r="H9" s="18"/>
      <c r="I9" s="18"/>
      <c r="L9" s="86" t="str">
        <f>C7</f>
        <v>5°C</v>
      </c>
      <c r="M9" s="86" t="str">
        <f>D7</f>
        <v>15 °C</v>
      </c>
      <c r="N9" s="86" t="str">
        <f>E7</f>
        <v>25°C</v>
      </c>
      <c r="O9" s="10" t="s">
        <v>59</v>
      </c>
      <c r="P9" s="86" t="str">
        <f>C8</f>
        <v>10 mn</v>
      </c>
      <c r="Q9" s="86" t="str">
        <f>D8</f>
        <v>25 mn</v>
      </c>
      <c r="R9" s="86" t="str">
        <f>E8</f>
        <v>40 mn</v>
      </c>
    </row>
    <row r="10" spans="1:19" ht="13.8">
      <c r="A10" s="43" t="s">
        <v>19</v>
      </c>
      <c r="B10" s="96" t="str">
        <f>B7</f>
        <v>Temp.</v>
      </c>
      <c r="C10" s="96" t="str">
        <f>B8</f>
        <v>Purge</v>
      </c>
      <c r="D10" s="43" t="s">
        <v>20</v>
      </c>
      <c r="E10" s="130" t="s">
        <v>21</v>
      </c>
      <c r="F10" s="130" t="s">
        <v>22</v>
      </c>
      <c r="G10" s="130" t="s">
        <v>23</v>
      </c>
      <c r="H10" s="130" t="s">
        <v>24</v>
      </c>
      <c r="I10" s="130" t="s">
        <v>25</v>
      </c>
      <c r="J10" s="25"/>
      <c r="L10" s="10" t="str">
        <f>B7</f>
        <v>Temp.</v>
      </c>
      <c r="M10" s="10" t="str">
        <f>B7</f>
        <v>Temp.</v>
      </c>
      <c r="N10" s="10" t="str">
        <f>B7</f>
        <v>Temp.</v>
      </c>
      <c r="P10" s="10" t="str">
        <f>B8</f>
        <v>Purge</v>
      </c>
      <c r="Q10" s="10" t="str">
        <f>B8</f>
        <v>Purge</v>
      </c>
      <c r="R10" s="10" t="str">
        <f>B8</f>
        <v>Purge</v>
      </c>
    </row>
    <row r="11" spans="1:19">
      <c r="A11" s="98">
        <v>1</v>
      </c>
      <c r="B11" s="131" t="str">
        <f>C$7</f>
        <v>5°C</v>
      </c>
      <c r="C11" s="190" t="str">
        <f>C$8</f>
        <v>10 mn</v>
      </c>
      <c r="D11" s="99">
        <f>MEDIAN(E11:I11)</f>
        <v>10.5</v>
      </c>
      <c r="E11" s="101">
        <v>11</v>
      </c>
      <c r="F11" s="101">
        <v>10</v>
      </c>
      <c r="G11" s="101"/>
      <c r="H11" s="101"/>
      <c r="I11" s="101"/>
      <c r="J11" s="25"/>
      <c r="K11" s="10" t="s">
        <v>4</v>
      </c>
      <c r="L11" s="15">
        <f>B22+C22</f>
        <v>14.166666666666666</v>
      </c>
      <c r="M11" s="15">
        <f>B23+C23</f>
        <v>24.833333333333332</v>
      </c>
      <c r="N11" s="15">
        <f>B24+C24</f>
        <v>38</v>
      </c>
      <c r="P11" s="15">
        <f>B22+D22</f>
        <v>21.5</v>
      </c>
      <c r="Q11" s="15">
        <f>B23+D23</f>
        <v>24.5</v>
      </c>
      <c r="R11" s="15">
        <f>B24+D24</f>
        <v>31</v>
      </c>
    </row>
    <row r="12" spans="1:19">
      <c r="A12" s="98">
        <v>2</v>
      </c>
      <c r="B12" s="131" t="str">
        <f t="shared" ref="B12:B13" si="0">C$7</f>
        <v>5°C</v>
      </c>
      <c r="C12" s="190" t="str">
        <f>D$8</f>
        <v>25 mn</v>
      </c>
      <c r="D12" s="99">
        <f t="shared" ref="D12:D19" si="1">MEDIAN(E12:I12)</f>
        <v>15</v>
      </c>
      <c r="E12" s="101">
        <v>15</v>
      </c>
      <c r="F12" s="101">
        <v>15</v>
      </c>
      <c r="G12" s="101"/>
      <c r="H12" s="101"/>
      <c r="I12" s="101"/>
      <c r="J12" s="25"/>
      <c r="K12" s="10" t="s">
        <v>26</v>
      </c>
      <c r="L12" s="15">
        <f>B22</f>
        <v>25.666666666666668</v>
      </c>
      <c r="M12" s="15">
        <f>B22</f>
        <v>25.666666666666668</v>
      </c>
      <c r="N12" s="15">
        <f>B22</f>
        <v>25.666666666666668</v>
      </c>
      <c r="O12" s="15">
        <f>B23</f>
        <v>25.666666666666668</v>
      </c>
      <c r="P12" s="15">
        <f>B22</f>
        <v>25.666666666666668</v>
      </c>
      <c r="Q12" s="15">
        <f>B22</f>
        <v>25.666666666666668</v>
      </c>
      <c r="R12" s="15">
        <f>B22</f>
        <v>25.666666666666668</v>
      </c>
      <c r="S12" s="15">
        <f>B22</f>
        <v>25.666666666666668</v>
      </c>
    </row>
    <row r="13" spans="1:19">
      <c r="A13" s="98">
        <v>3</v>
      </c>
      <c r="B13" s="131" t="str">
        <f t="shared" si="0"/>
        <v>5°C</v>
      </c>
      <c r="C13" s="190" t="str">
        <f>E$8</f>
        <v>40 mn</v>
      </c>
      <c r="D13" s="99">
        <f t="shared" si="1"/>
        <v>17</v>
      </c>
      <c r="E13" s="101">
        <v>18</v>
      </c>
      <c r="F13" s="101">
        <v>16</v>
      </c>
      <c r="G13" s="101"/>
      <c r="H13" s="101"/>
      <c r="I13" s="101"/>
      <c r="J13" s="25"/>
    </row>
    <row r="14" spans="1:19">
      <c r="A14" s="98">
        <v>4</v>
      </c>
      <c r="B14" s="190" t="str">
        <f>D$7</f>
        <v>15 °C</v>
      </c>
      <c r="C14" s="190" t="str">
        <f>C$8</f>
        <v>10 mn</v>
      </c>
      <c r="D14" s="99">
        <f t="shared" si="1"/>
        <v>22</v>
      </c>
      <c r="E14" s="101">
        <v>22</v>
      </c>
      <c r="F14" s="101">
        <v>22</v>
      </c>
      <c r="G14" s="101"/>
      <c r="H14" s="101"/>
      <c r="I14" s="101"/>
      <c r="J14" s="25"/>
    </row>
    <row r="15" spans="1:19">
      <c r="A15" s="98">
        <v>5</v>
      </c>
      <c r="B15" s="190" t="str">
        <f t="shared" ref="B15:B16" si="2">D$7</f>
        <v>15 °C</v>
      </c>
      <c r="C15" s="190" t="str">
        <f>D$8</f>
        <v>25 mn</v>
      </c>
      <c r="D15" s="99">
        <f t="shared" si="1"/>
        <v>24.5</v>
      </c>
      <c r="E15" s="101">
        <v>25</v>
      </c>
      <c r="F15" s="101">
        <v>24</v>
      </c>
      <c r="G15" s="101"/>
      <c r="H15" s="101"/>
      <c r="I15" s="101"/>
      <c r="J15" s="25"/>
    </row>
    <row r="16" spans="1:19">
      <c r="A16" s="98">
        <v>6</v>
      </c>
      <c r="B16" s="190" t="str">
        <f t="shared" si="2"/>
        <v>15 °C</v>
      </c>
      <c r="C16" s="190" t="str">
        <f>E$8</f>
        <v>40 mn</v>
      </c>
      <c r="D16" s="99">
        <f t="shared" si="1"/>
        <v>28</v>
      </c>
      <c r="E16" s="101">
        <v>28</v>
      </c>
      <c r="F16" s="101">
        <v>28</v>
      </c>
      <c r="G16" s="101"/>
      <c r="H16" s="101"/>
      <c r="I16" s="101"/>
      <c r="J16" s="25"/>
    </row>
    <row r="17" spans="1:15">
      <c r="A17" s="98">
        <v>7</v>
      </c>
      <c r="B17" s="190" t="str">
        <f>E$7</f>
        <v>25°C</v>
      </c>
      <c r="C17" s="190" t="str">
        <f>C$8</f>
        <v>10 mn</v>
      </c>
      <c r="D17" s="99">
        <f t="shared" si="1"/>
        <v>32</v>
      </c>
      <c r="E17" s="101">
        <v>32</v>
      </c>
      <c r="F17" s="101">
        <v>32</v>
      </c>
      <c r="G17" s="101"/>
      <c r="H17" s="101"/>
      <c r="I17" s="101"/>
      <c r="J17" s="25"/>
    </row>
    <row r="18" spans="1:15">
      <c r="A18" s="98">
        <v>8</v>
      </c>
      <c r="B18" s="190" t="str">
        <f t="shared" ref="B18:B19" si="3">E$7</f>
        <v>25°C</v>
      </c>
      <c r="C18" s="190" t="str">
        <f>D$8</f>
        <v>25 mn</v>
      </c>
      <c r="D18" s="99">
        <f t="shared" si="1"/>
        <v>34</v>
      </c>
      <c r="E18" s="101">
        <v>35</v>
      </c>
      <c r="F18" s="101">
        <v>33</v>
      </c>
      <c r="G18" s="101"/>
      <c r="H18" s="101"/>
      <c r="I18" s="101"/>
      <c r="J18" s="25"/>
    </row>
    <row r="19" spans="1:15">
      <c r="A19" s="98">
        <v>9</v>
      </c>
      <c r="B19" s="190" t="str">
        <f t="shared" si="3"/>
        <v>25°C</v>
      </c>
      <c r="C19" s="190" t="str">
        <f>E$8</f>
        <v>40 mn</v>
      </c>
      <c r="D19" s="99">
        <f t="shared" si="1"/>
        <v>48</v>
      </c>
      <c r="E19" s="101">
        <v>48</v>
      </c>
      <c r="F19" s="101">
        <v>48</v>
      </c>
      <c r="G19" s="101"/>
      <c r="H19" s="101"/>
      <c r="I19" s="101"/>
      <c r="J19" s="25"/>
    </row>
    <row r="20" spans="1:15">
      <c r="B20" s="25"/>
      <c r="C20" s="25"/>
      <c r="D20" s="25"/>
      <c r="E20" s="25"/>
      <c r="G20" s="25"/>
      <c r="H20" s="25"/>
      <c r="I20" s="25"/>
      <c r="J20" s="25"/>
    </row>
    <row r="21" spans="1:15" ht="13.8">
      <c r="A21" s="62" t="s">
        <v>27</v>
      </c>
      <c r="B21" s="63" t="s">
        <v>28</v>
      </c>
      <c r="C21" s="63" t="s">
        <v>29</v>
      </c>
      <c r="D21" s="63" t="s">
        <v>30</v>
      </c>
      <c r="E21" s="25"/>
      <c r="F21" s="242" t="s">
        <v>205</v>
      </c>
      <c r="G21" s="243"/>
      <c r="H21" s="244"/>
      <c r="I21" s="25"/>
      <c r="J21" s="25"/>
    </row>
    <row r="22" spans="1:15" ht="13.8">
      <c r="A22" s="62" t="s">
        <v>31</v>
      </c>
      <c r="B22" s="64">
        <f>(SUM(D11:D19))/9</f>
        <v>25.666666666666668</v>
      </c>
      <c r="C22" s="64">
        <f>((D11+D12+D13)/3)-B22</f>
        <v>-11.500000000000002</v>
      </c>
      <c r="D22" s="64">
        <f>((D11+D14+D17)/3)-B22</f>
        <v>-4.1666666666666679</v>
      </c>
      <c r="E22" s="25"/>
      <c r="F22" s="245" t="s">
        <v>206</v>
      </c>
      <c r="G22" s="246"/>
      <c r="H22" s="247"/>
      <c r="I22" s="25"/>
      <c r="J22" s="25"/>
    </row>
    <row r="23" spans="1:15" ht="13.8">
      <c r="A23" s="62" t="s">
        <v>32</v>
      </c>
      <c r="B23" s="64">
        <f>(SUM(D11:D19))/9</f>
        <v>25.666666666666668</v>
      </c>
      <c r="C23" s="64">
        <f>((D14+D15+D16)/3)-B23</f>
        <v>-0.8333333333333357</v>
      </c>
      <c r="D23" s="64">
        <f>((D12+D15+D18)/3)-B23</f>
        <v>-1.1666666666666679</v>
      </c>
      <c r="E23" s="25"/>
      <c r="F23" s="25"/>
      <c r="G23" s="25"/>
      <c r="H23" s="25"/>
      <c r="I23" s="25"/>
      <c r="J23" s="25"/>
      <c r="M23" s="10" t="str">
        <f>B7</f>
        <v>Temp.</v>
      </c>
      <c r="N23" s="10" t="str">
        <f>B7</f>
        <v>Temp.</v>
      </c>
      <c r="O23" s="10" t="str">
        <f>B7</f>
        <v>Temp.</v>
      </c>
    </row>
    <row r="24" spans="1:15" ht="13.8">
      <c r="A24" s="62" t="s">
        <v>33</v>
      </c>
      <c r="B24" s="64">
        <f>(SUM(D11:D19))/9</f>
        <v>25.666666666666668</v>
      </c>
      <c r="C24" s="64">
        <f>(D17+D18+D19)/3-B24</f>
        <v>12.333333333333332</v>
      </c>
      <c r="D24" s="64">
        <f>((D13+D16+D19)/3)-B24</f>
        <v>5.3333333333333321</v>
      </c>
      <c r="E24" s="25"/>
      <c r="F24" s="25"/>
      <c r="G24" s="25"/>
      <c r="H24" s="25"/>
      <c r="I24" s="25"/>
      <c r="J24" s="25"/>
      <c r="M24" s="86" t="str">
        <f>C7</f>
        <v>5°C</v>
      </c>
      <c r="N24" s="86" t="str">
        <f>D7</f>
        <v>15 °C</v>
      </c>
      <c r="O24" s="86" t="str">
        <f>E7</f>
        <v>25°C</v>
      </c>
    </row>
    <row r="25" spans="1:15">
      <c r="B25" s="25"/>
      <c r="C25" s="25"/>
      <c r="D25" s="28"/>
      <c r="E25" s="28"/>
      <c r="F25" s="28"/>
      <c r="G25" s="28"/>
      <c r="H25" s="28"/>
      <c r="I25" s="28"/>
      <c r="J25" s="25"/>
      <c r="K25" s="86" t="str">
        <f>C8</f>
        <v>10 mn</v>
      </c>
      <c r="L25" s="10" t="str">
        <f>B8</f>
        <v>Purge</v>
      </c>
      <c r="M25" s="10">
        <f>D11</f>
        <v>10.5</v>
      </c>
      <c r="N25" s="10">
        <f>D14</f>
        <v>22</v>
      </c>
      <c r="O25" s="10">
        <f>D17</f>
        <v>32</v>
      </c>
    </row>
    <row r="26" spans="1:15">
      <c r="A26" s="65"/>
      <c r="B26" s="65"/>
      <c r="C26" s="65"/>
      <c r="D26" s="65"/>
      <c r="E26" s="66"/>
      <c r="F26" s="66"/>
      <c r="G26" s="66"/>
      <c r="H26" s="66"/>
      <c r="I26" s="28"/>
      <c r="J26" s="25"/>
      <c r="K26" s="86" t="str">
        <f>D8</f>
        <v>25 mn</v>
      </c>
      <c r="L26" s="10" t="str">
        <f>B8</f>
        <v>Purge</v>
      </c>
      <c r="M26" s="10">
        <f>D12</f>
        <v>15</v>
      </c>
      <c r="N26" s="10">
        <f>D15</f>
        <v>24.5</v>
      </c>
      <c r="O26" s="10">
        <f>D18</f>
        <v>34</v>
      </c>
    </row>
    <row r="27" spans="1:15">
      <c r="A27" s="161" t="s">
        <v>172</v>
      </c>
      <c r="B27" s="65"/>
      <c r="C27" s="65"/>
      <c r="D27" s="65"/>
      <c r="E27" s="66"/>
      <c r="F27" s="66"/>
      <c r="G27" s="66"/>
      <c r="H27" s="66"/>
      <c r="I27" s="28"/>
      <c r="J27" s="25"/>
      <c r="K27" s="86" t="str">
        <f>E8</f>
        <v>40 mn</v>
      </c>
      <c r="L27" s="10" t="str">
        <f>B8</f>
        <v>Purge</v>
      </c>
      <c r="M27" s="10">
        <f>D13</f>
        <v>17</v>
      </c>
      <c r="N27" s="10">
        <f>D16</f>
        <v>28</v>
      </c>
      <c r="O27" s="10">
        <f>D19</f>
        <v>48</v>
      </c>
    </row>
    <row r="28" spans="1:15" ht="15">
      <c r="A28" s="151"/>
      <c r="B28" s="234" t="s">
        <v>250</v>
      </c>
      <c r="C28" s="234" t="s">
        <v>187</v>
      </c>
      <c r="D28" s="119" t="s">
        <v>188</v>
      </c>
      <c r="E28" s="235" t="s">
        <v>189</v>
      </c>
      <c r="F28" s="235" t="s">
        <v>190</v>
      </c>
      <c r="G28" s="151"/>
      <c r="H28" s="65"/>
      <c r="I28" s="25"/>
      <c r="J28" s="25"/>
    </row>
    <row r="29" spans="1:15" ht="15">
      <c r="A29" s="152"/>
      <c r="B29" s="202" t="s">
        <v>21</v>
      </c>
      <c r="C29" s="202" t="s">
        <v>160</v>
      </c>
      <c r="D29" s="71" t="s">
        <v>163</v>
      </c>
      <c r="E29" s="200">
        <f t="shared" ref="E29:E37" si="4">IF(E11="","",E11)</f>
        <v>11</v>
      </c>
      <c r="F29" s="202" t="str">
        <f>IF(E29="","",CONCATENATE(C29,"_",D29))</f>
        <v>A1_B1</v>
      </c>
      <c r="G29" s="152"/>
      <c r="H29" s="152"/>
      <c r="I29" s="25"/>
      <c r="J29" s="25"/>
    </row>
    <row r="30" spans="1:15" ht="15">
      <c r="A30" s="106"/>
      <c r="B30" s="79" t="s">
        <v>21</v>
      </c>
      <c r="C30" s="79" t="s">
        <v>160</v>
      </c>
      <c r="D30" s="67" t="s">
        <v>164</v>
      </c>
      <c r="E30" s="164">
        <f t="shared" si="4"/>
        <v>15</v>
      </c>
      <c r="F30" s="78" t="str">
        <f t="shared" ref="F30:F73" si="5">IF(E30="","",CONCATENATE(C30,"_",D30))</f>
        <v>A1_B2</v>
      </c>
      <c r="G30" s="197"/>
      <c r="H30" s="198"/>
      <c r="I30" s="25"/>
      <c r="J30" s="25"/>
    </row>
    <row r="31" spans="1:15" ht="15">
      <c r="A31" s="106"/>
      <c r="B31" s="79" t="s">
        <v>21</v>
      </c>
      <c r="C31" s="79" t="s">
        <v>160</v>
      </c>
      <c r="D31" s="67" t="s">
        <v>165</v>
      </c>
      <c r="E31" s="164">
        <f t="shared" si="4"/>
        <v>18</v>
      </c>
      <c r="F31" s="78" t="str">
        <f t="shared" si="5"/>
        <v>A1_B3</v>
      </c>
      <c r="G31" s="197"/>
      <c r="H31" s="198"/>
      <c r="I31" s="25"/>
      <c r="J31" s="25"/>
    </row>
    <row r="32" spans="1:15" ht="15">
      <c r="A32" s="199"/>
      <c r="B32" s="79" t="s">
        <v>21</v>
      </c>
      <c r="C32" s="79" t="s">
        <v>161</v>
      </c>
      <c r="D32" s="67" t="s">
        <v>163</v>
      </c>
      <c r="E32" s="164">
        <f t="shared" si="4"/>
        <v>22</v>
      </c>
      <c r="F32" s="78" t="str">
        <f t="shared" si="5"/>
        <v>A2_B1</v>
      </c>
      <c r="G32" s="197"/>
      <c r="H32" s="198"/>
      <c r="I32" s="25"/>
      <c r="J32" s="25"/>
    </row>
    <row r="33" spans="1:14" ht="15">
      <c r="A33" s="65"/>
      <c r="B33" s="79" t="s">
        <v>21</v>
      </c>
      <c r="C33" s="79" t="s">
        <v>161</v>
      </c>
      <c r="D33" s="67" t="s">
        <v>164</v>
      </c>
      <c r="E33" s="164">
        <f t="shared" si="4"/>
        <v>25</v>
      </c>
      <c r="F33" s="78" t="str">
        <f t="shared" si="5"/>
        <v>A2_B2</v>
      </c>
      <c r="G33" s="151"/>
      <c r="H33" s="151"/>
      <c r="I33" s="25"/>
      <c r="J33" s="25"/>
    </row>
    <row r="34" spans="1:14" ht="15">
      <c r="A34" s="65"/>
      <c r="B34" s="79" t="s">
        <v>21</v>
      </c>
      <c r="C34" s="79" t="s">
        <v>161</v>
      </c>
      <c r="D34" s="67" t="s">
        <v>165</v>
      </c>
      <c r="E34" s="164">
        <f t="shared" si="4"/>
        <v>28</v>
      </c>
      <c r="F34" s="78" t="str">
        <f t="shared" si="5"/>
        <v>A2_B3</v>
      </c>
      <c r="G34" s="151"/>
      <c r="H34" s="151"/>
      <c r="I34" s="25"/>
      <c r="J34" s="25"/>
    </row>
    <row r="35" spans="1:14">
      <c r="A35" s="65"/>
      <c r="B35" s="77" t="s">
        <v>21</v>
      </c>
      <c r="C35" s="77" t="s">
        <v>162</v>
      </c>
      <c r="D35" s="66" t="s">
        <v>163</v>
      </c>
      <c r="E35" s="164">
        <f t="shared" si="4"/>
        <v>32</v>
      </c>
      <c r="F35" s="78" t="str">
        <f t="shared" si="5"/>
        <v>A3_B1</v>
      </c>
      <c r="G35" s="65"/>
      <c r="H35" s="65"/>
      <c r="I35" s="25"/>
      <c r="J35" s="25"/>
    </row>
    <row r="36" spans="1:14">
      <c r="A36" s="65"/>
      <c r="B36" s="77" t="s">
        <v>21</v>
      </c>
      <c r="C36" s="77" t="s">
        <v>162</v>
      </c>
      <c r="D36" s="66" t="s">
        <v>164</v>
      </c>
      <c r="E36" s="164">
        <f t="shared" si="4"/>
        <v>35</v>
      </c>
      <c r="F36" s="78" t="str">
        <f t="shared" si="5"/>
        <v>A3_B2</v>
      </c>
      <c r="G36" s="65"/>
      <c r="H36" s="65"/>
      <c r="I36" s="25"/>
      <c r="J36" s="25"/>
    </row>
    <row r="37" spans="1:14">
      <c r="A37" s="65"/>
      <c r="B37" s="81" t="s">
        <v>21</v>
      </c>
      <c r="C37" s="81" t="s">
        <v>162</v>
      </c>
      <c r="D37" s="72" t="s">
        <v>165</v>
      </c>
      <c r="E37" s="201">
        <f t="shared" si="4"/>
        <v>48</v>
      </c>
      <c r="F37" s="236" t="str">
        <f t="shared" si="5"/>
        <v>A3_B3</v>
      </c>
      <c r="G37" s="65"/>
      <c r="H37" s="65"/>
      <c r="I37" s="25"/>
      <c r="J37" s="25"/>
      <c r="K37" s="25"/>
      <c r="L37" s="25"/>
      <c r="M37" s="15"/>
      <c r="N37" s="15"/>
    </row>
    <row r="38" spans="1:14" ht="15.6">
      <c r="A38" s="151"/>
      <c r="B38" s="202" t="s">
        <v>22</v>
      </c>
      <c r="C38" s="78" t="s">
        <v>160</v>
      </c>
      <c r="D38" s="71" t="s">
        <v>163</v>
      </c>
      <c r="E38" s="164">
        <f t="shared" ref="E38:E46" si="6">IF(F11="","",F11)</f>
        <v>10</v>
      </c>
      <c r="F38" s="202" t="str">
        <f t="shared" si="5"/>
        <v>A1_B1</v>
      </c>
      <c r="G38" s="151"/>
      <c r="H38" s="151"/>
      <c r="I38" s="134"/>
      <c r="J38" s="25"/>
      <c r="K38" s="25"/>
      <c r="L38" s="25"/>
      <c r="M38" s="15"/>
      <c r="N38" s="15"/>
    </row>
    <row r="39" spans="1:14" ht="15.6">
      <c r="A39" s="151"/>
      <c r="B39" s="79" t="s">
        <v>22</v>
      </c>
      <c r="C39" s="79" t="s">
        <v>160</v>
      </c>
      <c r="D39" s="67" t="s">
        <v>164</v>
      </c>
      <c r="E39" s="164">
        <f t="shared" si="6"/>
        <v>15</v>
      </c>
      <c r="F39" s="78" t="str">
        <f t="shared" si="5"/>
        <v>A1_B2</v>
      </c>
      <c r="G39" s="151"/>
      <c r="H39" s="151"/>
      <c r="I39" s="134"/>
      <c r="J39" s="25"/>
      <c r="K39" s="25"/>
      <c r="L39" s="25"/>
      <c r="M39" s="15"/>
      <c r="N39" s="15"/>
    </row>
    <row r="40" spans="1:14" ht="15.6">
      <c r="A40" s="151"/>
      <c r="B40" s="79" t="s">
        <v>22</v>
      </c>
      <c r="C40" s="79" t="s">
        <v>160</v>
      </c>
      <c r="D40" s="67" t="s">
        <v>165</v>
      </c>
      <c r="E40" s="164">
        <f t="shared" si="6"/>
        <v>16</v>
      </c>
      <c r="F40" s="78" t="str">
        <f t="shared" si="5"/>
        <v>A1_B3</v>
      </c>
      <c r="G40" s="151"/>
      <c r="H40" s="151"/>
      <c r="I40" s="134"/>
      <c r="J40" s="25"/>
      <c r="K40" s="25"/>
      <c r="L40" s="25"/>
    </row>
    <row r="41" spans="1:14" ht="15.6">
      <c r="A41" s="151"/>
      <c r="B41" s="79" t="s">
        <v>22</v>
      </c>
      <c r="C41" s="79" t="s">
        <v>161</v>
      </c>
      <c r="D41" s="67" t="s">
        <v>163</v>
      </c>
      <c r="E41" s="164">
        <f t="shared" si="6"/>
        <v>22</v>
      </c>
      <c r="F41" s="78" t="str">
        <f t="shared" si="5"/>
        <v>A2_B1</v>
      </c>
      <c r="G41" s="151"/>
      <c r="H41" s="151"/>
      <c r="I41" s="134"/>
      <c r="J41" s="25"/>
      <c r="K41" s="25"/>
      <c r="L41" s="25"/>
    </row>
    <row r="42" spans="1:14" ht="15.6">
      <c r="A42" s="151"/>
      <c r="B42" s="79" t="s">
        <v>22</v>
      </c>
      <c r="C42" s="79" t="s">
        <v>161</v>
      </c>
      <c r="D42" s="67" t="s">
        <v>164</v>
      </c>
      <c r="E42" s="164">
        <f t="shared" si="6"/>
        <v>24</v>
      </c>
      <c r="F42" s="78" t="str">
        <f t="shared" si="5"/>
        <v>A2_B2</v>
      </c>
      <c r="G42" s="151"/>
      <c r="H42" s="151"/>
      <c r="I42" s="134"/>
      <c r="J42" s="25"/>
      <c r="K42" s="25"/>
      <c r="L42" s="25"/>
    </row>
    <row r="43" spans="1:14" ht="15.6">
      <c r="A43" s="151"/>
      <c r="B43" s="79" t="s">
        <v>22</v>
      </c>
      <c r="C43" s="79" t="s">
        <v>161</v>
      </c>
      <c r="D43" s="67" t="s">
        <v>165</v>
      </c>
      <c r="E43" s="164">
        <f t="shared" si="6"/>
        <v>28</v>
      </c>
      <c r="F43" s="78" t="str">
        <f t="shared" si="5"/>
        <v>A2_B3</v>
      </c>
      <c r="G43" s="151"/>
      <c r="H43" s="151"/>
      <c r="I43" s="134"/>
      <c r="J43" s="134"/>
      <c r="K43" s="134"/>
      <c r="L43" s="25"/>
    </row>
    <row r="44" spans="1:14" ht="15.6">
      <c r="A44" s="151"/>
      <c r="B44" s="77" t="s">
        <v>22</v>
      </c>
      <c r="C44" s="77" t="s">
        <v>162</v>
      </c>
      <c r="D44" s="66" t="s">
        <v>163</v>
      </c>
      <c r="E44" s="164">
        <f t="shared" si="6"/>
        <v>32</v>
      </c>
      <c r="F44" s="78" t="str">
        <f t="shared" si="5"/>
        <v>A3_B1</v>
      </c>
      <c r="G44" s="151"/>
      <c r="H44" s="151"/>
      <c r="I44" s="134"/>
      <c r="J44" s="134"/>
      <c r="K44" s="134"/>
      <c r="L44" s="25"/>
    </row>
    <row r="45" spans="1:14" ht="15.6">
      <c r="A45" s="134"/>
      <c r="B45" s="77" t="s">
        <v>22</v>
      </c>
      <c r="C45" s="77" t="s">
        <v>162</v>
      </c>
      <c r="D45" s="66" t="s">
        <v>164</v>
      </c>
      <c r="E45" s="164">
        <f t="shared" si="6"/>
        <v>33</v>
      </c>
      <c r="F45" s="78" t="str">
        <f t="shared" si="5"/>
        <v>A3_B2</v>
      </c>
      <c r="G45" s="134"/>
      <c r="H45" s="134"/>
      <c r="I45" s="134"/>
      <c r="J45" s="25"/>
      <c r="K45" s="25"/>
      <c r="L45" s="25"/>
    </row>
    <row r="46" spans="1:14" ht="15.6">
      <c r="A46" s="134"/>
      <c r="B46" s="81" t="s">
        <v>22</v>
      </c>
      <c r="C46" s="81" t="s">
        <v>162</v>
      </c>
      <c r="D46" s="72" t="s">
        <v>165</v>
      </c>
      <c r="E46" s="201">
        <f t="shared" si="6"/>
        <v>48</v>
      </c>
      <c r="F46" s="236" t="str">
        <f t="shared" si="5"/>
        <v>A3_B3</v>
      </c>
      <c r="G46" s="134"/>
      <c r="H46" s="134"/>
      <c r="I46" s="134"/>
      <c r="J46" s="25"/>
      <c r="K46" s="25"/>
      <c r="L46" s="25"/>
    </row>
    <row r="47" spans="1:14">
      <c r="B47" s="202" t="s">
        <v>23</v>
      </c>
      <c r="C47" s="78" t="s">
        <v>160</v>
      </c>
      <c r="D47" s="71" t="s">
        <v>163</v>
      </c>
      <c r="E47" s="164" t="str">
        <f t="shared" ref="E47:E55" si="7">IF(G11="","",G11)</f>
        <v/>
      </c>
      <c r="F47" s="202" t="str">
        <f t="shared" si="5"/>
        <v/>
      </c>
    </row>
    <row r="48" spans="1:14">
      <c r="B48" s="79" t="s">
        <v>23</v>
      </c>
      <c r="C48" s="79" t="s">
        <v>160</v>
      </c>
      <c r="D48" s="67" t="s">
        <v>164</v>
      </c>
      <c r="E48" s="164" t="str">
        <f t="shared" si="7"/>
        <v/>
      </c>
      <c r="F48" s="78" t="str">
        <f t="shared" si="5"/>
        <v/>
      </c>
    </row>
    <row r="49" spans="2:6">
      <c r="B49" s="79" t="s">
        <v>23</v>
      </c>
      <c r="C49" s="79" t="s">
        <v>160</v>
      </c>
      <c r="D49" s="67" t="s">
        <v>165</v>
      </c>
      <c r="E49" s="164" t="str">
        <f t="shared" si="7"/>
        <v/>
      </c>
      <c r="F49" s="78" t="str">
        <f t="shared" si="5"/>
        <v/>
      </c>
    </row>
    <row r="50" spans="2:6">
      <c r="B50" s="79" t="s">
        <v>23</v>
      </c>
      <c r="C50" s="79" t="s">
        <v>161</v>
      </c>
      <c r="D50" s="67" t="s">
        <v>163</v>
      </c>
      <c r="E50" s="164" t="str">
        <f t="shared" si="7"/>
        <v/>
      </c>
      <c r="F50" s="78" t="str">
        <f t="shared" si="5"/>
        <v/>
      </c>
    </row>
    <row r="51" spans="2:6">
      <c r="B51" s="79" t="s">
        <v>23</v>
      </c>
      <c r="C51" s="79" t="s">
        <v>161</v>
      </c>
      <c r="D51" s="67" t="s">
        <v>164</v>
      </c>
      <c r="E51" s="164" t="str">
        <f t="shared" si="7"/>
        <v/>
      </c>
      <c r="F51" s="78" t="str">
        <f t="shared" si="5"/>
        <v/>
      </c>
    </row>
    <row r="52" spans="2:6">
      <c r="B52" s="79" t="s">
        <v>23</v>
      </c>
      <c r="C52" s="79" t="s">
        <v>161</v>
      </c>
      <c r="D52" s="67" t="s">
        <v>165</v>
      </c>
      <c r="E52" s="164" t="str">
        <f t="shared" si="7"/>
        <v/>
      </c>
      <c r="F52" s="78" t="str">
        <f t="shared" si="5"/>
        <v/>
      </c>
    </row>
    <row r="53" spans="2:6">
      <c r="B53" s="77" t="s">
        <v>23</v>
      </c>
      <c r="C53" s="77" t="s">
        <v>162</v>
      </c>
      <c r="D53" s="66" t="s">
        <v>163</v>
      </c>
      <c r="E53" s="164" t="str">
        <f t="shared" si="7"/>
        <v/>
      </c>
      <c r="F53" s="78" t="str">
        <f t="shared" si="5"/>
        <v/>
      </c>
    </row>
    <row r="54" spans="2:6">
      <c r="B54" s="77" t="s">
        <v>23</v>
      </c>
      <c r="C54" s="77" t="s">
        <v>162</v>
      </c>
      <c r="D54" s="66" t="s">
        <v>164</v>
      </c>
      <c r="E54" s="164" t="str">
        <f t="shared" si="7"/>
        <v/>
      </c>
      <c r="F54" s="78" t="str">
        <f t="shared" si="5"/>
        <v/>
      </c>
    </row>
    <row r="55" spans="2:6">
      <c r="B55" s="81" t="s">
        <v>23</v>
      </c>
      <c r="C55" s="81" t="s">
        <v>162</v>
      </c>
      <c r="D55" s="72" t="s">
        <v>165</v>
      </c>
      <c r="E55" s="201" t="str">
        <f t="shared" si="7"/>
        <v/>
      </c>
      <c r="F55" s="236" t="str">
        <f t="shared" si="5"/>
        <v/>
      </c>
    </row>
    <row r="56" spans="2:6">
      <c r="B56" s="202" t="s">
        <v>24</v>
      </c>
      <c r="C56" s="78" t="s">
        <v>160</v>
      </c>
      <c r="D56" s="71" t="s">
        <v>163</v>
      </c>
      <c r="E56" s="76" t="str">
        <f t="shared" ref="E56:E64" si="8">IF(H11="","",H11)</f>
        <v/>
      </c>
      <c r="F56" s="202" t="str">
        <f t="shared" si="5"/>
        <v/>
      </c>
    </row>
    <row r="57" spans="2:6">
      <c r="B57" s="79" t="s">
        <v>24</v>
      </c>
      <c r="C57" s="79" t="s">
        <v>160</v>
      </c>
      <c r="D57" s="67" t="s">
        <v>164</v>
      </c>
      <c r="E57" s="76" t="str">
        <f t="shared" si="8"/>
        <v/>
      </c>
      <c r="F57" s="78" t="str">
        <f t="shared" si="5"/>
        <v/>
      </c>
    </row>
    <row r="58" spans="2:6">
      <c r="B58" s="79" t="s">
        <v>24</v>
      </c>
      <c r="C58" s="79" t="s">
        <v>160</v>
      </c>
      <c r="D58" s="67" t="s">
        <v>165</v>
      </c>
      <c r="E58" s="76" t="str">
        <f t="shared" si="8"/>
        <v/>
      </c>
      <c r="F58" s="78" t="str">
        <f t="shared" si="5"/>
        <v/>
      </c>
    </row>
    <row r="59" spans="2:6">
      <c r="B59" s="79" t="s">
        <v>24</v>
      </c>
      <c r="C59" s="79" t="s">
        <v>161</v>
      </c>
      <c r="D59" s="67" t="s">
        <v>163</v>
      </c>
      <c r="E59" s="76" t="str">
        <f t="shared" si="8"/>
        <v/>
      </c>
      <c r="F59" s="78" t="str">
        <f t="shared" si="5"/>
        <v/>
      </c>
    </row>
    <row r="60" spans="2:6">
      <c r="B60" s="79" t="s">
        <v>24</v>
      </c>
      <c r="C60" s="79" t="s">
        <v>161</v>
      </c>
      <c r="D60" s="67" t="s">
        <v>164</v>
      </c>
      <c r="E60" s="76" t="str">
        <f t="shared" si="8"/>
        <v/>
      </c>
      <c r="F60" s="78" t="str">
        <f t="shared" si="5"/>
        <v/>
      </c>
    </row>
    <row r="61" spans="2:6">
      <c r="B61" s="79" t="s">
        <v>24</v>
      </c>
      <c r="C61" s="79" t="s">
        <v>161</v>
      </c>
      <c r="D61" s="67" t="s">
        <v>165</v>
      </c>
      <c r="E61" s="76" t="str">
        <f t="shared" si="8"/>
        <v/>
      </c>
      <c r="F61" s="78" t="str">
        <f t="shared" si="5"/>
        <v/>
      </c>
    </row>
    <row r="62" spans="2:6">
      <c r="B62" s="77" t="s">
        <v>24</v>
      </c>
      <c r="C62" s="77" t="s">
        <v>162</v>
      </c>
      <c r="D62" s="66" t="s">
        <v>163</v>
      </c>
      <c r="E62" s="76" t="str">
        <f t="shared" si="8"/>
        <v/>
      </c>
      <c r="F62" s="78" t="str">
        <f t="shared" si="5"/>
        <v/>
      </c>
    </row>
    <row r="63" spans="2:6">
      <c r="B63" s="77" t="s">
        <v>24</v>
      </c>
      <c r="C63" s="77" t="s">
        <v>162</v>
      </c>
      <c r="D63" s="66" t="s">
        <v>164</v>
      </c>
      <c r="E63" s="76" t="str">
        <f t="shared" si="8"/>
        <v/>
      </c>
      <c r="F63" s="78" t="str">
        <f t="shared" si="5"/>
        <v/>
      </c>
    </row>
    <row r="64" spans="2:6">
      <c r="B64" s="81" t="s">
        <v>24</v>
      </c>
      <c r="C64" s="81" t="s">
        <v>162</v>
      </c>
      <c r="D64" s="72" t="s">
        <v>165</v>
      </c>
      <c r="E64" s="118" t="str">
        <f t="shared" si="8"/>
        <v/>
      </c>
      <c r="F64" s="236" t="str">
        <f t="shared" si="5"/>
        <v/>
      </c>
    </row>
    <row r="65" spans="1:9">
      <c r="B65" s="202" t="s">
        <v>25</v>
      </c>
      <c r="C65" s="78" t="s">
        <v>160</v>
      </c>
      <c r="D65" s="71" t="s">
        <v>163</v>
      </c>
      <c r="E65" s="76" t="str">
        <f t="shared" ref="E65:E73" si="9">IF(I11="","",I11)</f>
        <v/>
      </c>
      <c r="F65" s="202" t="str">
        <f t="shared" si="5"/>
        <v/>
      </c>
    </row>
    <row r="66" spans="1:9">
      <c r="B66" s="79" t="s">
        <v>25</v>
      </c>
      <c r="C66" s="79" t="s">
        <v>160</v>
      </c>
      <c r="D66" s="67" t="s">
        <v>164</v>
      </c>
      <c r="E66" s="76" t="str">
        <f t="shared" si="9"/>
        <v/>
      </c>
      <c r="F66" s="78" t="str">
        <f t="shared" si="5"/>
        <v/>
      </c>
    </row>
    <row r="67" spans="1:9">
      <c r="B67" s="79" t="s">
        <v>25</v>
      </c>
      <c r="C67" s="79" t="s">
        <v>160</v>
      </c>
      <c r="D67" s="67" t="s">
        <v>165</v>
      </c>
      <c r="E67" s="76" t="str">
        <f t="shared" si="9"/>
        <v/>
      </c>
      <c r="F67" s="78" t="str">
        <f t="shared" si="5"/>
        <v/>
      </c>
    </row>
    <row r="68" spans="1:9">
      <c r="B68" s="79" t="s">
        <v>25</v>
      </c>
      <c r="C68" s="79" t="s">
        <v>161</v>
      </c>
      <c r="D68" s="67" t="s">
        <v>163</v>
      </c>
      <c r="E68" s="76" t="str">
        <f t="shared" si="9"/>
        <v/>
      </c>
      <c r="F68" s="78" t="str">
        <f t="shared" si="5"/>
        <v/>
      </c>
    </row>
    <row r="69" spans="1:9">
      <c r="B69" s="79" t="s">
        <v>25</v>
      </c>
      <c r="C69" s="79" t="s">
        <v>161</v>
      </c>
      <c r="D69" s="67" t="s">
        <v>164</v>
      </c>
      <c r="E69" s="76" t="str">
        <f t="shared" si="9"/>
        <v/>
      </c>
      <c r="F69" s="78" t="str">
        <f t="shared" si="5"/>
        <v/>
      </c>
    </row>
    <row r="70" spans="1:9">
      <c r="B70" s="79" t="s">
        <v>25</v>
      </c>
      <c r="C70" s="79" t="s">
        <v>161</v>
      </c>
      <c r="D70" s="67" t="s">
        <v>165</v>
      </c>
      <c r="E70" s="76" t="str">
        <f t="shared" si="9"/>
        <v/>
      </c>
      <c r="F70" s="78" t="str">
        <f t="shared" si="5"/>
        <v/>
      </c>
    </row>
    <row r="71" spans="1:9">
      <c r="B71" s="77" t="s">
        <v>25</v>
      </c>
      <c r="C71" s="77" t="s">
        <v>162</v>
      </c>
      <c r="D71" s="66" t="s">
        <v>163</v>
      </c>
      <c r="E71" s="76" t="str">
        <f t="shared" si="9"/>
        <v/>
      </c>
      <c r="F71" s="78" t="str">
        <f t="shared" si="5"/>
        <v/>
      </c>
    </row>
    <row r="72" spans="1:9">
      <c r="B72" s="77" t="s">
        <v>25</v>
      </c>
      <c r="C72" s="77" t="s">
        <v>162</v>
      </c>
      <c r="D72" s="66" t="s">
        <v>164</v>
      </c>
      <c r="E72" s="76" t="str">
        <f t="shared" si="9"/>
        <v/>
      </c>
      <c r="F72" s="78" t="str">
        <f t="shared" si="5"/>
        <v/>
      </c>
    </row>
    <row r="73" spans="1:9">
      <c r="B73" s="81" t="s">
        <v>25</v>
      </c>
      <c r="C73" s="81" t="s">
        <v>162</v>
      </c>
      <c r="D73" s="72" t="s">
        <v>165</v>
      </c>
      <c r="E73" s="118" t="str">
        <f t="shared" si="9"/>
        <v/>
      </c>
      <c r="F73" s="236" t="str">
        <f t="shared" si="5"/>
        <v/>
      </c>
    </row>
    <row r="76" spans="1:9" ht="14.4">
      <c r="A76" s="237" t="s">
        <v>191</v>
      </c>
      <c r="B76" s="238"/>
      <c r="C76" s="238"/>
      <c r="D76" s="238"/>
      <c r="E76" s="238"/>
      <c r="F76" s="238"/>
      <c r="G76" s="238"/>
      <c r="H76" s="238"/>
      <c r="I76" s="238"/>
    </row>
    <row r="78" spans="1:9">
      <c r="B78" s="35" t="s">
        <v>192</v>
      </c>
    </row>
    <row r="79" spans="1:9">
      <c r="B79" s="35"/>
      <c r="C79" s="35" t="s">
        <v>193</v>
      </c>
    </row>
    <row r="81" spans="2:8">
      <c r="B81" s="24" t="s">
        <v>194</v>
      </c>
    </row>
    <row r="82" spans="2:8">
      <c r="B82" s="239" t="s">
        <v>195</v>
      </c>
    </row>
    <row r="83" spans="2:8" ht="13.8">
      <c r="C83" s="240" t="s">
        <v>207</v>
      </c>
      <c r="D83" s="238"/>
      <c r="E83" s="238"/>
      <c r="F83" s="238"/>
      <c r="G83" s="238"/>
      <c r="H83" s="238"/>
    </row>
    <row r="84" spans="2:8" ht="13.8">
      <c r="C84" s="240" t="s">
        <v>208</v>
      </c>
      <c r="D84" s="238"/>
      <c r="E84" s="238"/>
      <c r="F84" s="238"/>
      <c r="G84" s="238"/>
      <c r="H84" s="238"/>
    </row>
    <row r="85" spans="2:8" ht="13.8">
      <c r="C85" s="240" t="s">
        <v>209</v>
      </c>
      <c r="D85" s="238"/>
      <c r="E85" s="238"/>
      <c r="F85" s="238"/>
      <c r="G85" s="238"/>
      <c r="H85" s="238"/>
    </row>
    <row r="87" spans="2:8">
      <c r="B87" s="239" t="s">
        <v>199</v>
      </c>
    </row>
    <row r="88" spans="2:8">
      <c r="B88" s="35" t="s">
        <v>200</v>
      </c>
    </row>
    <row r="89" spans="2:8" ht="13.8">
      <c r="B89" s="35"/>
      <c r="C89" s="240" t="s">
        <v>202</v>
      </c>
      <c r="D89" s="238"/>
      <c r="E89" s="238"/>
      <c r="F89" s="238"/>
      <c r="G89" s="238"/>
      <c r="H89" s="238"/>
    </row>
    <row r="90" spans="2:8" ht="13.8">
      <c r="B90" s="35"/>
      <c r="C90" s="240" t="s">
        <v>203</v>
      </c>
      <c r="D90" s="238"/>
      <c r="E90" s="238"/>
      <c r="F90" s="238"/>
      <c r="G90" s="238"/>
      <c r="H90" s="238"/>
    </row>
    <row r="91" spans="2:8">
      <c r="B91" s="35"/>
    </row>
    <row r="92" spans="2:8">
      <c r="B92" s="35" t="s">
        <v>201</v>
      </c>
    </row>
    <row r="93" spans="2:8">
      <c r="B93" s="35"/>
      <c r="C93" s="35" t="s">
        <v>238</v>
      </c>
    </row>
    <row r="94" spans="2:8">
      <c r="B94" s="35"/>
      <c r="C94" s="263" t="s">
        <v>239</v>
      </c>
    </row>
    <row r="95" spans="2:8">
      <c r="B95" s="35"/>
      <c r="C95" s="35" t="s">
        <v>244</v>
      </c>
    </row>
    <row r="96" spans="2:8">
      <c r="B96" s="35"/>
      <c r="C96" s="263" t="s">
        <v>240</v>
      </c>
    </row>
    <row r="97" spans="2:8">
      <c r="B97" s="35"/>
      <c r="C97" s="35" t="s">
        <v>241</v>
      </c>
    </row>
    <row r="98" spans="2:8">
      <c r="B98" s="35"/>
      <c r="C98" s="35" t="s">
        <v>242</v>
      </c>
    </row>
    <row r="99" spans="2:8">
      <c r="B99" s="35"/>
      <c r="C99" s="35"/>
    </row>
    <row r="100" spans="2:8">
      <c r="B100" s="35"/>
      <c r="C100" s="35" t="s">
        <v>243</v>
      </c>
    </row>
    <row r="101" spans="2:8" ht="13.8">
      <c r="C101" s="240" t="s">
        <v>210</v>
      </c>
      <c r="D101" s="238"/>
      <c r="E101" s="238"/>
      <c r="F101" s="238"/>
      <c r="G101" s="238"/>
      <c r="H101" s="238"/>
    </row>
    <row r="102" spans="2:8" ht="13.8">
      <c r="C102" s="240" t="s">
        <v>208</v>
      </c>
      <c r="D102" s="238"/>
      <c r="E102" s="238"/>
      <c r="F102" s="238"/>
      <c r="G102" s="238"/>
      <c r="H102" s="238"/>
    </row>
    <row r="103" spans="2:8" ht="13.8">
      <c r="C103" s="240" t="s">
        <v>209</v>
      </c>
      <c r="D103" s="238"/>
      <c r="E103" s="238"/>
      <c r="F103" s="238"/>
      <c r="G103" s="238"/>
      <c r="H103" s="238"/>
    </row>
    <row r="105" spans="2:8">
      <c r="C105" s="35" t="s">
        <v>245</v>
      </c>
    </row>
    <row r="106" spans="2:8" ht="13.8">
      <c r="C106" s="240" t="s">
        <v>246</v>
      </c>
      <c r="D106" s="238"/>
      <c r="E106" s="238"/>
      <c r="F106" s="238"/>
      <c r="G106" s="238"/>
      <c r="H106" s="238"/>
    </row>
    <row r="107" spans="2:8" ht="13.8">
      <c r="C107" s="240" t="s">
        <v>202</v>
      </c>
      <c r="D107" s="238"/>
      <c r="E107" s="238"/>
      <c r="F107" s="238"/>
      <c r="G107" s="238"/>
      <c r="H107" s="238"/>
    </row>
    <row r="108" spans="2:8" ht="13.8">
      <c r="C108" s="240" t="s">
        <v>251</v>
      </c>
      <c r="D108" s="238"/>
      <c r="E108" s="238"/>
      <c r="F108" s="238"/>
      <c r="G108" s="238"/>
      <c r="H108" s="238"/>
    </row>
    <row r="109" spans="2:8" ht="13.8">
      <c r="C109" s="240" t="s">
        <v>208</v>
      </c>
      <c r="D109" s="238"/>
      <c r="E109" s="238"/>
      <c r="F109" s="238"/>
      <c r="G109" s="238"/>
      <c r="H109" s="238"/>
    </row>
    <row r="110" spans="2:8" ht="13.8">
      <c r="C110" s="240" t="s">
        <v>252</v>
      </c>
      <c r="D110" s="238"/>
      <c r="E110" s="238"/>
      <c r="F110" s="238"/>
      <c r="G110" s="238"/>
      <c r="H110" s="238"/>
    </row>
    <row r="113" spans="1:8">
      <c r="B113" s="35" t="s">
        <v>258</v>
      </c>
    </row>
    <row r="114" spans="1:8" ht="13.8">
      <c r="C114" s="240" t="s">
        <v>253</v>
      </c>
      <c r="D114" s="238"/>
      <c r="E114" s="238"/>
      <c r="F114" s="238"/>
      <c r="G114" s="238"/>
      <c r="H114" s="238"/>
    </row>
    <row r="115" spans="1:8" ht="13.8">
      <c r="C115" s="240" t="s">
        <v>272</v>
      </c>
      <c r="D115" s="240"/>
      <c r="E115" s="240"/>
      <c r="F115" s="240"/>
      <c r="G115" s="240"/>
      <c r="H115" s="240"/>
    </row>
    <row r="116" spans="1:8" ht="13.8">
      <c r="C116" s="240" t="s">
        <v>259</v>
      </c>
      <c r="D116" s="240"/>
      <c r="E116" s="240"/>
      <c r="F116" s="240"/>
      <c r="G116" s="240"/>
      <c r="H116" s="240"/>
    </row>
    <row r="121" spans="1:8">
      <c r="A121" s="264" t="s">
        <v>285</v>
      </c>
    </row>
  </sheetData>
  <sheetProtection sheet="1" objects="1" scenarios="1" formatCells="0"/>
  <mergeCells count="5">
    <mergeCell ref="D2:H2"/>
    <mergeCell ref="D3:H3"/>
    <mergeCell ref="G6:H6"/>
    <mergeCell ref="G7:H7"/>
    <mergeCell ref="G8:H8"/>
  </mergeCells>
  <phoneticPr fontId="6" type="noConversion"/>
  <hyperlinks>
    <hyperlink ref="A121" r:id="rId1"/>
  </hyperlinks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U140"/>
  <sheetViews>
    <sheetView workbookViewId="0">
      <selection activeCell="D2" sqref="D2:H4"/>
    </sheetView>
  </sheetViews>
  <sheetFormatPr baseColWidth="10" defaultRowHeight="13.2"/>
  <cols>
    <col min="1" max="1" width="20.109375" style="10" customWidth="1"/>
    <col min="2" max="11" width="13.77734375" style="10" customWidth="1"/>
    <col min="12" max="12" width="7.6640625" style="10" customWidth="1"/>
    <col min="13" max="13" width="9" style="10" customWidth="1"/>
    <col min="14" max="14" width="7.6640625" style="10" customWidth="1"/>
    <col min="15" max="16" width="7.44140625" style="10" customWidth="1"/>
    <col min="17" max="17" width="6.33203125" style="10" customWidth="1"/>
    <col min="18" max="18" width="7.33203125" style="10" customWidth="1"/>
    <col min="19" max="19" width="1.77734375" style="10" customWidth="1"/>
    <col min="20" max="20" width="6" style="10" customWidth="1"/>
    <col min="21" max="21" width="6.44140625" style="10" customWidth="1"/>
    <col min="22" max="16384" width="11.5546875" style="10"/>
  </cols>
  <sheetData>
    <row r="2" spans="1:21" ht="16.2">
      <c r="D2" s="266" t="s">
        <v>176</v>
      </c>
      <c r="E2" s="266"/>
      <c r="F2" s="266"/>
      <c r="G2" s="266"/>
      <c r="H2" s="266"/>
    </row>
    <row r="3" spans="1:21" ht="16.2">
      <c r="D3" s="266" t="s">
        <v>180</v>
      </c>
      <c r="E3" s="266"/>
      <c r="F3" s="266"/>
      <c r="G3" s="266"/>
      <c r="H3" s="266"/>
    </row>
    <row r="4" spans="1:21" ht="16.2">
      <c r="D4" s="266" t="s">
        <v>181</v>
      </c>
      <c r="E4" s="266"/>
      <c r="F4" s="266"/>
      <c r="G4" s="266"/>
      <c r="H4" s="266"/>
    </row>
    <row r="5" spans="1:21" ht="13.8" thickBot="1"/>
    <row r="6" spans="1:21" ht="14.4" thickBot="1">
      <c r="A6" s="95" t="s">
        <v>3</v>
      </c>
      <c r="B6" s="39"/>
      <c r="C6" s="39"/>
      <c r="D6" s="39"/>
      <c r="E6" s="50"/>
      <c r="F6" s="11"/>
      <c r="G6" s="11"/>
      <c r="H6" s="11"/>
      <c r="I6" s="11"/>
      <c r="J6" s="11"/>
    </row>
    <row r="7" spans="1:21" ht="13.8">
      <c r="A7" s="40"/>
      <c r="B7" s="41" t="s">
        <v>4</v>
      </c>
      <c r="C7" s="41" t="s">
        <v>5</v>
      </c>
      <c r="D7" s="41" t="s">
        <v>6</v>
      </c>
      <c r="E7" s="51" t="s">
        <v>7</v>
      </c>
      <c r="F7" s="11"/>
      <c r="G7" s="267" t="s">
        <v>8</v>
      </c>
      <c r="H7" s="268"/>
      <c r="I7" s="120"/>
      <c r="J7" s="120"/>
      <c r="K7" s="25"/>
    </row>
    <row r="8" spans="1:21" ht="13.8">
      <c r="A8" s="127" t="s">
        <v>9</v>
      </c>
      <c r="B8" s="49" t="s">
        <v>34</v>
      </c>
      <c r="C8" s="48" t="s">
        <v>35</v>
      </c>
      <c r="D8" s="48" t="s">
        <v>42</v>
      </c>
      <c r="E8" s="181"/>
      <c r="F8" s="11"/>
      <c r="G8" s="269" t="s">
        <v>150</v>
      </c>
      <c r="H8" s="270"/>
      <c r="I8" s="121"/>
      <c r="J8" s="121"/>
      <c r="K8" s="25"/>
    </row>
    <row r="9" spans="1:21" ht="14.4" thickBot="1">
      <c r="A9" s="128" t="s">
        <v>13</v>
      </c>
      <c r="B9" s="48" t="s">
        <v>38</v>
      </c>
      <c r="C9" s="48" t="s">
        <v>78</v>
      </c>
      <c r="D9" s="48" t="s">
        <v>79</v>
      </c>
      <c r="E9" s="100" t="s">
        <v>82</v>
      </c>
      <c r="F9" s="11"/>
      <c r="G9" s="271" t="s">
        <v>18</v>
      </c>
      <c r="H9" s="272"/>
      <c r="I9" s="120"/>
      <c r="J9" s="120"/>
      <c r="K9" s="120"/>
    </row>
    <row r="10" spans="1:21" ht="13.8" thickBot="1">
      <c r="A10" s="129" t="s">
        <v>43</v>
      </c>
      <c r="B10" s="55" t="s">
        <v>44</v>
      </c>
      <c r="C10" s="55" t="s">
        <v>80</v>
      </c>
      <c r="D10" s="55" t="s">
        <v>81</v>
      </c>
      <c r="E10" s="182"/>
      <c r="F10" s="121"/>
      <c r="G10" s="121"/>
      <c r="H10" s="121"/>
      <c r="I10" s="121"/>
      <c r="J10" s="121"/>
      <c r="K10" s="25"/>
    </row>
    <row r="11" spans="1:21" ht="25.5" customHeight="1">
      <c r="F11" s="185" t="s">
        <v>149</v>
      </c>
      <c r="G11" s="18"/>
      <c r="H11" s="18"/>
      <c r="M11" s="86" t="str">
        <f>C8</f>
        <v>5°C</v>
      </c>
      <c r="N11" s="86" t="str">
        <f>D8</f>
        <v>30°C</v>
      </c>
      <c r="O11" s="10" t="s">
        <v>59</v>
      </c>
      <c r="P11" s="86" t="str">
        <f>C9</f>
        <v>10mn</v>
      </c>
      <c r="Q11" s="86" t="str">
        <f>D9</f>
        <v>25mn</v>
      </c>
      <c r="R11" s="86" t="str">
        <f>E9</f>
        <v>40mn</v>
      </c>
      <c r="S11" s="10" t="s">
        <v>59</v>
      </c>
      <c r="T11" s="10" t="str">
        <f>C10</f>
        <v>5mn</v>
      </c>
      <c r="U11" s="10" t="str">
        <f>D10</f>
        <v>15mn</v>
      </c>
    </row>
    <row r="12" spans="1:21" ht="13.8">
      <c r="A12" s="43" t="s">
        <v>19</v>
      </c>
      <c r="B12" s="183" t="str">
        <f>B8</f>
        <v>Temp.</v>
      </c>
      <c r="C12" s="183" t="str">
        <f>B9</f>
        <v>Purge</v>
      </c>
      <c r="D12" s="183" t="str">
        <f>B10</f>
        <v>Séchage</v>
      </c>
      <c r="E12" s="43" t="s">
        <v>20</v>
      </c>
      <c r="F12" s="130" t="s">
        <v>21</v>
      </c>
      <c r="G12" s="130" t="s">
        <v>22</v>
      </c>
      <c r="H12" s="130" t="s">
        <v>23</v>
      </c>
      <c r="I12" s="130" t="s">
        <v>24</v>
      </c>
      <c r="J12" s="130" t="s">
        <v>25</v>
      </c>
      <c r="K12" s="25"/>
      <c r="M12" s="10" t="str">
        <f>B8</f>
        <v>Temp.</v>
      </c>
      <c r="N12" s="10" t="str">
        <f>B8</f>
        <v>Temp.</v>
      </c>
      <c r="P12" s="10" t="str">
        <f>B9</f>
        <v>Purge</v>
      </c>
      <c r="Q12" s="10" t="str">
        <f>B9</f>
        <v>Purge</v>
      </c>
      <c r="R12" s="10" t="str">
        <f>B9</f>
        <v>Purge</v>
      </c>
      <c r="T12" s="10" t="str">
        <f>B10</f>
        <v>Séchage</v>
      </c>
      <c r="U12" s="10" t="str">
        <f>B10</f>
        <v>Séchage</v>
      </c>
    </row>
    <row r="13" spans="1:21">
      <c r="A13" s="98">
        <v>1</v>
      </c>
      <c r="B13" s="184" t="str">
        <f>C$8</f>
        <v>5°C</v>
      </c>
      <c r="C13" s="184" t="str">
        <f>C$9</f>
        <v>10mn</v>
      </c>
      <c r="D13" s="47" t="str">
        <f>C$10</f>
        <v>5mn</v>
      </c>
      <c r="E13" s="99">
        <f>MEDIAN(F13:J13)</f>
        <v>2.9017081603361605</v>
      </c>
      <c r="F13" s="101">
        <v>2.1</v>
      </c>
      <c r="G13" s="101">
        <v>3.703416320672321</v>
      </c>
      <c r="H13" s="101"/>
      <c r="I13" s="101"/>
      <c r="J13" s="101"/>
      <c r="K13" s="25"/>
      <c r="L13" s="10" t="s">
        <v>4</v>
      </c>
      <c r="M13" s="15">
        <f>B27+C27</f>
        <v>2.4494100266941667</v>
      </c>
      <c r="N13" s="15">
        <f>B28+C28</f>
        <v>4.2421155369686394</v>
      </c>
      <c r="P13" s="15">
        <f>B27+D27</f>
        <v>3.8087651070552173</v>
      </c>
      <c r="Q13" s="15">
        <f>B28+D28</f>
        <v>3.3220546601883565</v>
      </c>
      <c r="R13" s="15">
        <f>B29+D29</f>
        <v>2.9064685782506356</v>
      </c>
      <c r="T13" s="15">
        <f>B27+E27</f>
        <v>3.2715346020821223</v>
      </c>
      <c r="U13" s="15">
        <f>B28+E28</f>
        <v>3.4199909615806838</v>
      </c>
    </row>
    <row r="14" spans="1:21">
      <c r="A14" s="98">
        <v>2</v>
      </c>
      <c r="B14" s="184" t="str">
        <f t="shared" ref="B14:B18" si="0">C$8</f>
        <v>5°C</v>
      </c>
      <c r="C14" s="184" t="str">
        <f>D$9</f>
        <v>25mn</v>
      </c>
      <c r="D14" s="47" t="str">
        <f t="shared" ref="D14:D15" si="1">C$10</f>
        <v>5mn</v>
      </c>
      <c r="E14" s="99">
        <f t="shared" ref="E14:E24" si="2">MEDIAN(F14:J14)</f>
        <v>3.2549422275137143</v>
      </c>
      <c r="F14" s="101">
        <v>2.4</v>
      </c>
      <c r="G14" s="101">
        <v>4.1098844550274283</v>
      </c>
      <c r="H14" s="101"/>
      <c r="I14" s="101"/>
      <c r="J14" s="101"/>
      <c r="K14" s="25"/>
      <c r="L14" s="10" t="s">
        <v>26</v>
      </c>
      <c r="M14" s="15">
        <f>B27</f>
        <v>3.3457627818314033</v>
      </c>
      <c r="N14" s="15">
        <f>B27</f>
        <v>3.3457627818314033</v>
      </c>
      <c r="O14" s="15">
        <f>B28</f>
        <v>3.3457627818314033</v>
      </c>
      <c r="P14" s="15">
        <f>B27</f>
        <v>3.3457627818314033</v>
      </c>
      <c r="Q14" s="15">
        <f>B27</f>
        <v>3.3457627818314033</v>
      </c>
      <c r="R14" s="15">
        <f>B27</f>
        <v>3.3457627818314033</v>
      </c>
      <c r="S14" s="15">
        <f>B27</f>
        <v>3.3457627818314033</v>
      </c>
      <c r="T14" s="15">
        <f>B27</f>
        <v>3.3457627818314033</v>
      </c>
      <c r="U14" s="15">
        <f>B27</f>
        <v>3.3457627818314033</v>
      </c>
    </row>
    <row r="15" spans="1:21">
      <c r="A15" s="98">
        <v>3</v>
      </c>
      <c r="B15" s="184" t="str">
        <f t="shared" si="0"/>
        <v>5°C</v>
      </c>
      <c r="C15" s="184" t="str">
        <f>E$9</f>
        <v>40mn</v>
      </c>
      <c r="D15" s="47" t="str">
        <f t="shared" si="1"/>
        <v>5mn</v>
      </c>
      <c r="E15" s="99">
        <f t="shared" si="2"/>
        <v>2.442216073648515</v>
      </c>
      <c r="F15" s="101">
        <v>1.7</v>
      </c>
      <c r="G15" s="101">
        <v>3.1844321472970298</v>
      </c>
      <c r="H15" s="101"/>
      <c r="I15" s="101"/>
      <c r="J15" s="101"/>
      <c r="K15" s="25"/>
    </row>
    <row r="16" spans="1:21">
      <c r="A16" s="98">
        <v>4</v>
      </c>
      <c r="B16" s="184" t="str">
        <f t="shared" si="0"/>
        <v>5°C</v>
      </c>
      <c r="C16" s="184" t="str">
        <f>C$9</f>
        <v>10mn</v>
      </c>
      <c r="D16" s="131" t="str">
        <f>D$10</f>
        <v>15mn</v>
      </c>
      <c r="E16" s="99">
        <f t="shared" si="2"/>
        <v>2.6508391446007433</v>
      </c>
      <c r="F16" s="101">
        <v>1.9</v>
      </c>
      <c r="G16" s="101">
        <v>3.4016782892014867</v>
      </c>
      <c r="H16" s="101"/>
      <c r="I16" s="101"/>
      <c r="J16" s="101"/>
      <c r="K16" s="25"/>
    </row>
    <row r="17" spans="1:15">
      <c r="A17" s="98">
        <v>5</v>
      </c>
      <c r="B17" s="184" t="str">
        <f t="shared" si="0"/>
        <v>5°C</v>
      </c>
      <c r="C17" s="184" t="str">
        <f>D$9</f>
        <v>25mn</v>
      </c>
      <c r="D17" s="131" t="str">
        <f t="shared" ref="D17:D18" si="3">D$10</f>
        <v>15mn</v>
      </c>
      <c r="E17" s="99">
        <f t="shared" si="2"/>
        <v>1.9945029974217328</v>
      </c>
      <c r="F17" s="101">
        <v>1.4</v>
      </c>
      <c r="G17" s="101">
        <v>2.5890059948434656</v>
      </c>
      <c r="H17" s="101"/>
      <c r="I17" s="101"/>
      <c r="J17" s="101"/>
      <c r="K17" s="25"/>
    </row>
    <row r="18" spans="1:15">
      <c r="A18" s="98">
        <v>6</v>
      </c>
      <c r="B18" s="184" t="str">
        <f t="shared" si="0"/>
        <v>5°C</v>
      </c>
      <c r="C18" s="184" t="str">
        <f>E$9</f>
        <v>40mn</v>
      </c>
      <c r="D18" s="131" t="str">
        <f t="shared" si="3"/>
        <v>15mn</v>
      </c>
      <c r="E18" s="99">
        <f t="shared" si="2"/>
        <v>1.4522515566441352</v>
      </c>
      <c r="F18" s="101">
        <v>0.8</v>
      </c>
      <c r="G18" s="101">
        <v>2.1045031132882701</v>
      </c>
      <c r="H18" s="101"/>
      <c r="I18" s="101"/>
      <c r="J18" s="101"/>
      <c r="K18" s="25"/>
    </row>
    <row r="19" spans="1:15">
      <c r="A19" s="98">
        <v>7</v>
      </c>
      <c r="B19" s="184" t="str">
        <f>D$8</f>
        <v>30°C</v>
      </c>
      <c r="C19" s="184" t="str">
        <f>C$9</f>
        <v>10mn</v>
      </c>
      <c r="D19" s="47" t="str">
        <f>C$10</f>
        <v>5mn</v>
      </c>
      <c r="E19" s="99">
        <f t="shared" si="2"/>
        <v>4.1749054349209747</v>
      </c>
      <c r="F19" s="101">
        <v>3.6</v>
      </c>
      <c r="G19" s="101">
        <v>4.7498108698419497</v>
      </c>
      <c r="H19" s="101"/>
      <c r="I19" s="101"/>
      <c r="J19" s="101"/>
      <c r="K19" s="25"/>
    </row>
    <row r="20" spans="1:15">
      <c r="A20" s="98">
        <v>8</v>
      </c>
      <c r="B20" s="184" t="str">
        <f t="shared" ref="B20:B24" si="4">D$8</f>
        <v>30°C</v>
      </c>
      <c r="C20" s="184" t="str">
        <f>D$9</f>
        <v>25mn</v>
      </c>
      <c r="D20" s="47" t="str">
        <f t="shared" ref="D20:D21" si="5">C$10</f>
        <v>5mn</v>
      </c>
      <c r="E20" s="99">
        <f t="shared" si="2"/>
        <v>3.4834701166139124</v>
      </c>
      <c r="F20" s="101">
        <v>2.8</v>
      </c>
      <c r="G20" s="101">
        <v>4.1669402332278249</v>
      </c>
      <c r="H20" s="101"/>
      <c r="I20" s="101"/>
      <c r="J20" s="101"/>
      <c r="K20" s="25"/>
    </row>
    <row r="21" spans="1:15">
      <c r="A21" s="98">
        <v>9</v>
      </c>
      <c r="B21" s="184" t="str">
        <f t="shared" si="4"/>
        <v>30°C</v>
      </c>
      <c r="C21" s="184" t="str">
        <f>E$9</f>
        <v>40mn</v>
      </c>
      <c r="D21" s="47" t="str">
        <f t="shared" si="5"/>
        <v>5mn</v>
      </c>
      <c r="E21" s="99">
        <f t="shared" si="2"/>
        <v>3.3719655994594566</v>
      </c>
      <c r="F21" s="101">
        <v>2.4</v>
      </c>
      <c r="G21" s="101">
        <v>4.3439311989189129</v>
      </c>
      <c r="H21" s="101"/>
      <c r="I21" s="101"/>
      <c r="J21" s="101"/>
      <c r="K21" s="25"/>
    </row>
    <row r="22" spans="1:15">
      <c r="A22" s="98">
        <v>10</v>
      </c>
      <c r="B22" s="184" t="str">
        <f t="shared" si="4"/>
        <v>30°C</v>
      </c>
      <c r="C22" s="184" t="str">
        <f>C$9</f>
        <v>10mn</v>
      </c>
      <c r="D22" s="131" t="str">
        <f>D$10</f>
        <v>15mn</v>
      </c>
      <c r="E22" s="99">
        <f t="shared" si="2"/>
        <v>5.5076076883629916</v>
      </c>
      <c r="F22" s="101">
        <v>4.5999999999999996</v>
      </c>
      <c r="G22" s="101">
        <v>6.4152153767259836</v>
      </c>
      <c r="H22" s="101"/>
      <c r="I22" s="101"/>
      <c r="J22" s="101"/>
      <c r="K22" s="25"/>
    </row>
    <row r="23" spans="1:15" ht="13.8">
      <c r="A23" s="98">
        <v>11</v>
      </c>
      <c r="B23" s="184" t="str">
        <f t="shared" si="4"/>
        <v>30°C</v>
      </c>
      <c r="C23" s="184" t="str">
        <f>D$9</f>
        <v>25mn</v>
      </c>
      <c r="D23" s="131" t="str">
        <f t="shared" ref="D23:D24" si="6">D$10</f>
        <v>15mn</v>
      </c>
      <c r="E23" s="99">
        <f t="shared" si="2"/>
        <v>4.5553032992040663</v>
      </c>
      <c r="F23" s="101">
        <v>3.8</v>
      </c>
      <c r="G23" s="101">
        <v>5.3106065984081328</v>
      </c>
      <c r="H23" s="101"/>
      <c r="I23" s="101"/>
      <c r="J23" s="101"/>
      <c r="K23" s="25"/>
      <c r="L23" s="165"/>
      <c r="M23" s="165"/>
      <c r="N23" s="166" t="str">
        <f>B8</f>
        <v>Temp.</v>
      </c>
      <c r="O23" s="167" t="str">
        <f>B8</f>
        <v>Temp.</v>
      </c>
    </row>
    <row r="24" spans="1:15" ht="13.8">
      <c r="A24" s="98">
        <v>12</v>
      </c>
      <c r="B24" s="184" t="str">
        <f t="shared" si="4"/>
        <v>30°C</v>
      </c>
      <c r="C24" s="184" t="str">
        <f>E$9</f>
        <v>40mn</v>
      </c>
      <c r="D24" s="131" t="str">
        <f t="shared" si="6"/>
        <v>15mn</v>
      </c>
      <c r="E24" s="99">
        <f t="shared" si="2"/>
        <v>4.3594410832504362</v>
      </c>
      <c r="F24" s="101">
        <v>3.4</v>
      </c>
      <c r="G24" s="101">
        <v>5.3188821665008721</v>
      </c>
      <c r="H24" s="101"/>
      <c r="I24" s="101"/>
      <c r="J24" s="101"/>
      <c r="K24" s="25"/>
      <c r="L24" s="165"/>
      <c r="M24" s="165"/>
      <c r="N24" s="168" t="str">
        <f>C8</f>
        <v>5°C</v>
      </c>
      <c r="O24" s="169" t="str">
        <f>D8</f>
        <v>30°C</v>
      </c>
    </row>
    <row r="25" spans="1:15" ht="13.8">
      <c r="B25" s="25"/>
      <c r="C25" s="25"/>
      <c r="D25" s="25"/>
      <c r="E25" s="25"/>
      <c r="F25" s="27"/>
      <c r="H25" s="25"/>
      <c r="I25" s="25"/>
      <c r="J25" s="25"/>
      <c r="K25" s="25"/>
      <c r="L25" s="170" t="str">
        <f>C9</f>
        <v>10mn</v>
      </c>
      <c r="M25" s="171" t="str">
        <f>B9</f>
        <v>Purge</v>
      </c>
      <c r="N25" s="172">
        <f>(E13+E16)/2</f>
        <v>2.7762736524684519</v>
      </c>
      <c r="O25" s="173">
        <f>(E19+E22)/2</f>
        <v>4.8412565616419831</v>
      </c>
    </row>
    <row r="26" spans="1:15" ht="13.8">
      <c r="A26" s="62" t="s">
        <v>27</v>
      </c>
      <c r="B26" s="63" t="s">
        <v>28</v>
      </c>
      <c r="C26" s="63" t="s">
        <v>29</v>
      </c>
      <c r="D26" s="63" t="s">
        <v>30</v>
      </c>
      <c r="E26" s="63" t="s">
        <v>47</v>
      </c>
      <c r="F26" s="26"/>
      <c r="G26" s="242" t="s">
        <v>205</v>
      </c>
      <c r="H26" s="243"/>
      <c r="I26" s="244"/>
      <c r="J26" s="26"/>
      <c r="K26" s="25"/>
      <c r="L26" s="168" t="str">
        <f>D9</f>
        <v>25mn</v>
      </c>
      <c r="M26" s="29" t="str">
        <f>B9</f>
        <v>Purge</v>
      </c>
      <c r="N26" s="174">
        <f>(E14+E17)/2</f>
        <v>2.6247226124677234</v>
      </c>
      <c r="O26" s="175">
        <f>(E20+E23)/2</f>
        <v>4.0193867079089891</v>
      </c>
    </row>
    <row r="27" spans="1:15" ht="13.8">
      <c r="A27" s="62" t="s">
        <v>31</v>
      </c>
      <c r="B27" s="64">
        <f>(SUM(E13:E24))/12</f>
        <v>3.3457627818314033</v>
      </c>
      <c r="C27" s="64">
        <f>((E13+E14+E15+E16+E17+E18)/6)-B27</f>
        <v>-0.89635275513723656</v>
      </c>
      <c r="D27" s="64">
        <f>((E13+E16+E19+E22)/4)-B27</f>
        <v>0.46300232522381402</v>
      </c>
      <c r="E27" s="64">
        <f>((E13+E14+E15+E19+E20+E21)/6)-B27</f>
        <v>-7.4228179749280976E-2</v>
      </c>
      <c r="F27" s="27"/>
      <c r="G27" s="245" t="s">
        <v>206</v>
      </c>
      <c r="H27" s="246"/>
      <c r="I27" s="247"/>
      <c r="J27" s="27"/>
      <c r="K27" s="25"/>
      <c r="L27" s="176" t="str">
        <f>E9</f>
        <v>40mn</v>
      </c>
      <c r="M27" s="177" t="str">
        <f>B9</f>
        <v>Purge</v>
      </c>
      <c r="N27" s="178">
        <f>(E15+E18)/2</f>
        <v>1.9472338151463251</v>
      </c>
      <c r="O27" s="179">
        <f>(E21+E24)/2</f>
        <v>3.8657033413549464</v>
      </c>
    </row>
    <row r="28" spans="1:15" ht="13.8">
      <c r="A28" s="62" t="s">
        <v>32</v>
      </c>
      <c r="B28" s="64">
        <f>(SUM(E13:E24))/12</f>
        <v>3.3457627818314033</v>
      </c>
      <c r="C28" s="64">
        <f>((E19+E20+E21+E22+E23+E24)/6)-B28</f>
        <v>0.89635275513723611</v>
      </c>
      <c r="D28" s="64">
        <f>((E14+E17+E20+E23)/4)-B28</f>
        <v>-2.3708121643046809E-2</v>
      </c>
      <c r="E28" s="64">
        <f>((E16+E17+E18+E22+E23+E24)/6)-B28</f>
        <v>7.4228179749280532E-2</v>
      </c>
      <c r="F28" s="27"/>
      <c r="G28" s="27"/>
      <c r="H28" s="27"/>
      <c r="I28" s="27"/>
      <c r="J28" s="27"/>
      <c r="K28" s="25"/>
      <c r="L28" s="165" t="s">
        <v>59</v>
      </c>
      <c r="M28" s="165"/>
      <c r="N28" s="174"/>
      <c r="O28" s="175"/>
    </row>
    <row r="29" spans="1:15" ht="13.8">
      <c r="A29" s="62" t="s">
        <v>33</v>
      </c>
      <c r="B29" s="64">
        <f>(SUM(E13:E24))/12</f>
        <v>3.3457627818314033</v>
      </c>
      <c r="C29" s="64"/>
      <c r="D29" s="64">
        <f>((E15+E18+E21+E24)/4)-B29</f>
        <v>-0.43929420358076765</v>
      </c>
      <c r="E29" s="64"/>
      <c r="F29" s="27"/>
      <c r="G29" s="27"/>
      <c r="H29" s="27"/>
      <c r="I29" s="27"/>
      <c r="J29" s="27"/>
      <c r="K29" s="25"/>
      <c r="L29" s="166" t="str">
        <f>C10</f>
        <v>5mn</v>
      </c>
      <c r="M29" s="171" t="str">
        <f>B10</f>
        <v>Séchage</v>
      </c>
      <c r="N29" s="172">
        <f>(E13+E14+E15)/3</f>
        <v>2.866288820499463</v>
      </c>
      <c r="O29" s="173">
        <f>(E19+E20+E21)/3</f>
        <v>3.6767803836647808</v>
      </c>
    </row>
    <row r="30" spans="1:15" ht="13.8">
      <c r="B30" s="25"/>
      <c r="C30" s="25"/>
      <c r="D30" s="28"/>
      <c r="E30" s="28"/>
      <c r="F30" s="28"/>
      <c r="G30" s="28"/>
      <c r="H30" s="28"/>
      <c r="I30" s="28"/>
      <c r="J30" s="28"/>
      <c r="K30" s="25"/>
      <c r="L30" s="180" t="str">
        <f>D10</f>
        <v>15mn</v>
      </c>
      <c r="M30" s="177" t="str">
        <f>B10</f>
        <v>Séchage</v>
      </c>
      <c r="N30" s="178">
        <f>(E16+E17+E18)/3</f>
        <v>2.0325312328888701</v>
      </c>
      <c r="O30" s="179">
        <f>(E22+E23+E24)/3</f>
        <v>4.8074506902724981</v>
      </c>
    </row>
    <row r="31" spans="1:15">
      <c r="B31" s="25"/>
      <c r="C31" s="25"/>
      <c r="D31" s="25"/>
      <c r="E31" s="28"/>
      <c r="F31" s="28"/>
      <c r="G31" s="28"/>
      <c r="H31" s="28"/>
      <c r="I31" s="28"/>
      <c r="J31" s="28"/>
      <c r="K31" s="25"/>
    </row>
    <row r="32" spans="1:15" ht="13.8">
      <c r="A32" s="188" t="s">
        <v>172</v>
      </c>
      <c r="B32" s="144"/>
      <c r="C32" s="144"/>
      <c r="D32" s="143"/>
      <c r="E32" s="142"/>
      <c r="F32" s="142"/>
      <c r="G32" s="142"/>
      <c r="H32" s="142"/>
      <c r="I32" s="28"/>
      <c r="J32" s="28"/>
      <c r="K32" s="25"/>
    </row>
    <row r="33" spans="1:16" ht="13.8">
      <c r="A33" s="145"/>
      <c r="B33" s="234" t="s">
        <v>250</v>
      </c>
      <c r="C33" s="234" t="s">
        <v>187</v>
      </c>
      <c r="D33" s="119" t="s">
        <v>188</v>
      </c>
      <c r="E33" s="119" t="s">
        <v>211</v>
      </c>
      <c r="F33" s="235" t="s">
        <v>189</v>
      </c>
      <c r="G33" s="119" t="s">
        <v>190</v>
      </c>
      <c r="H33" s="144"/>
      <c r="I33" s="25"/>
      <c r="J33" s="25"/>
      <c r="K33" s="25"/>
    </row>
    <row r="34" spans="1:16" ht="13.8">
      <c r="A34" s="145"/>
      <c r="B34" s="77" t="s">
        <v>21</v>
      </c>
      <c r="C34" s="77" t="s">
        <v>160</v>
      </c>
      <c r="D34" s="76" t="s">
        <v>163</v>
      </c>
      <c r="E34" s="65" t="s">
        <v>166</v>
      </c>
      <c r="F34" s="76">
        <f t="shared" ref="F34:F45" si="7">IF(F13="","",F13)</f>
        <v>2.1</v>
      </c>
      <c r="G34" s="248" t="str">
        <f>IF(F34="","",CONCATENATE(C34,"_",D34,"_",E34))</f>
        <v>A1_B1_C1</v>
      </c>
      <c r="H34" s="144"/>
      <c r="I34" s="25"/>
      <c r="J34" s="25"/>
      <c r="K34" s="25"/>
    </row>
    <row r="35" spans="1:16" ht="13.8">
      <c r="A35" s="145"/>
      <c r="B35" s="77" t="s">
        <v>21</v>
      </c>
      <c r="C35" s="77" t="s">
        <v>160</v>
      </c>
      <c r="D35" s="76" t="s">
        <v>164</v>
      </c>
      <c r="E35" s="65" t="s">
        <v>166</v>
      </c>
      <c r="F35" s="76">
        <f t="shared" si="7"/>
        <v>2.4</v>
      </c>
      <c r="G35" s="249" t="str">
        <f t="shared" ref="G35:G93" si="8">IF(F35="","",CONCATENATE(C35,"_",D35,"_",E35))</f>
        <v>A1_B2_C1</v>
      </c>
      <c r="H35" s="144"/>
      <c r="I35" s="25"/>
      <c r="J35" s="25"/>
      <c r="K35" s="25"/>
    </row>
    <row r="36" spans="1:16" ht="13.8">
      <c r="A36" s="145"/>
      <c r="B36" s="77" t="s">
        <v>21</v>
      </c>
      <c r="C36" s="77" t="s">
        <v>160</v>
      </c>
      <c r="D36" s="76" t="s">
        <v>165</v>
      </c>
      <c r="E36" s="65" t="s">
        <v>166</v>
      </c>
      <c r="F36" s="76">
        <f t="shared" si="7"/>
        <v>1.7</v>
      </c>
      <c r="G36" s="249" t="str">
        <f t="shared" si="8"/>
        <v>A1_B3_C1</v>
      </c>
      <c r="H36" s="144"/>
      <c r="I36" s="25"/>
      <c r="J36" s="25"/>
      <c r="K36" s="25"/>
      <c r="N36" s="14" t="str">
        <f>B9</f>
        <v>Purge</v>
      </c>
      <c r="O36" s="14" t="str">
        <f>B9</f>
        <v>Purge</v>
      </c>
      <c r="P36" s="14" t="str">
        <f>B9</f>
        <v>Purge</v>
      </c>
    </row>
    <row r="37" spans="1:16">
      <c r="A37" s="144"/>
      <c r="B37" s="77" t="s">
        <v>21</v>
      </c>
      <c r="C37" s="77" t="s">
        <v>160</v>
      </c>
      <c r="D37" s="76" t="s">
        <v>163</v>
      </c>
      <c r="E37" s="65" t="s">
        <v>167</v>
      </c>
      <c r="F37" s="76">
        <f t="shared" si="7"/>
        <v>1.9</v>
      </c>
      <c r="G37" s="249" t="str">
        <f t="shared" si="8"/>
        <v>A1_B1_C2</v>
      </c>
      <c r="H37" s="144"/>
      <c r="I37" s="25"/>
      <c r="J37" s="25"/>
      <c r="K37" s="25"/>
      <c r="N37" s="14" t="str">
        <f>C9</f>
        <v>10mn</v>
      </c>
      <c r="O37" s="14" t="str">
        <f>D9</f>
        <v>25mn</v>
      </c>
      <c r="P37" s="14" t="str">
        <f>E9</f>
        <v>40mn</v>
      </c>
    </row>
    <row r="38" spans="1:16">
      <c r="A38" s="144"/>
      <c r="B38" s="77" t="s">
        <v>21</v>
      </c>
      <c r="C38" s="77" t="s">
        <v>160</v>
      </c>
      <c r="D38" s="76" t="s">
        <v>164</v>
      </c>
      <c r="E38" s="65" t="s">
        <v>167</v>
      </c>
      <c r="F38" s="76">
        <f t="shared" si="7"/>
        <v>1.4</v>
      </c>
      <c r="G38" s="249" t="str">
        <f t="shared" si="8"/>
        <v>A1_B2_C2</v>
      </c>
      <c r="H38" s="144"/>
      <c r="I38" s="25"/>
      <c r="J38" s="25"/>
      <c r="K38" s="25"/>
      <c r="L38" s="14" t="str">
        <f>C10</f>
        <v>5mn</v>
      </c>
      <c r="M38" s="14" t="str">
        <f>B10</f>
        <v>Séchage</v>
      </c>
      <c r="N38" s="10">
        <f>(E13+E19)/2</f>
        <v>3.5383067976285676</v>
      </c>
      <c r="O38" s="10">
        <f>(E14+E20)/2</f>
        <v>3.3692061720638131</v>
      </c>
      <c r="P38" s="10">
        <f>(E15+E21)/2</f>
        <v>2.9070908365539858</v>
      </c>
    </row>
    <row r="39" spans="1:16">
      <c r="A39" s="144"/>
      <c r="B39" s="77" t="s">
        <v>21</v>
      </c>
      <c r="C39" s="77" t="s">
        <v>160</v>
      </c>
      <c r="D39" s="76" t="s">
        <v>165</v>
      </c>
      <c r="E39" s="65" t="s">
        <v>167</v>
      </c>
      <c r="F39" s="76">
        <f t="shared" si="7"/>
        <v>0.8</v>
      </c>
      <c r="G39" s="249" t="str">
        <f t="shared" si="8"/>
        <v>A1_B3_C2</v>
      </c>
      <c r="H39" s="144"/>
      <c r="I39" s="25"/>
      <c r="J39" s="25"/>
      <c r="K39" s="25"/>
      <c r="L39" s="14" t="str">
        <f>D10</f>
        <v>15mn</v>
      </c>
      <c r="M39" s="14" t="str">
        <f>B10</f>
        <v>Séchage</v>
      </c>
      <c r="N39" s="10">
        <f>(E16+E22)/2</f>
        <v>4.0792234164818675</v>
      </c>
      <c r="O39" s="10">
        <f>(E17+E23)/2</f>
        <v>3.2749031483128994</v>
      </c>
      <c r="P39" s="10">
        <f>(E18+E24)/2</f>
        <v>2.9058463199472859</v>
      </c>
    </row>
    <row r="40" spans="1:16">
      <c r="A40" s="144"/>
      <c r="B40" s="77" t="s">
        <v>21</v>
      </c>
      <c r="C40" s="77" t="s">
        <v>161</v>
      </c>
      <c r="D40" s="76" t="s">
        <v>163</v>
      </c>
      <c r="E40" s="65" t="s">
        <v>166</v>
      </c>
      <c r="F40" s="76">
        <f t="shared" si="7"/>
        <v>3.6</v>
      </c>
      <c r="G40" s="249" t="str">
        <f t="shared" si="8"/>
        <v>A2_B1_C1</v>
      </c>
      <c r="H40" s="144"/>
      <c r="I40" s="25"/>
      <c r="J40" s="25"/>
      <c r="K40" s="25"/>
    </row>
    <row r="41" spans="1:16">
      <c r="A41" s="144"/>
      <c r="B41" s="77" t="s">
        <v>21</v>
      </c>
      <c r="C41" s="77" t="s">
        <v>161</v>
      </c>
      <c r="D41" s="76" t="s">
        <v>164</v>
      </c>
      <c r="E41" s="65" t="s">
        <v>166</v>
      </c>
      <c r="F41" s="76">
        <f t="shared" si="7"/>
        <v>2.8</v>
      </c>
      <c r="G41" s="249" t="str">
        <f t="shared" si="8"/>
        <v>A2_B2_C1</v>
      </c>
      <c r="H41" s="144"/>
      <c r="I41" s="25"/>
      <c r="J41" s="25"/>
      <c r="K41" s="25"/>
    </row>
    <row r="42" spans="1:16">
      <c r="A42" s="144"/>
      <c r="B42" s="77" t="s">
        <v>21</v>
      </c>
      <c r="C42" s="77" t="s">
        <v>161</v>
      </c>
      <c r="D42" s="76" t="s">
        <v>165</v>
      </c>
      <c r="E42" s="65" t="s">
        <v>166</v>
      </c>
      <c r="F42" s="76">
        <f t="shared" si="7"/>
        <v>2.4</v>
      </c>
      <c r="G42" s="249" t="str">
        <f t="shared" si="8"/>
        <v>A2_B3_C1</v>
      </c>
      <c r="H42" s="144"/>
      <c r="I42" s="25"/>
      <c r="J42" s="25"/>
      <c r="K42" s="25"/>
    </row>
    <row r="43" spans="1:16">
      <c r="A43" s="144"/>
      <c r="B43" s="77" t="s">
        <v>21</v>
      </c>
      <c r="C43" s="77" t="s">
        <v>161</v>
      </c>
      <c r="D43" s="76" t="s">
        <v>163</v>
      </c>
      <c r="E43" s="65" t="s">
        <v>167</v>
      </c>
      <c r="F43" s="76">
        <f t="shared" si="7"/>
        <v>4.5999999999999996</v>
      </c>
      <c r="G43" s="249" t="str">
        <f t="shared" si="8"/>
        <v>A2_B1_C2</v>
      </c>
      <c r="H43" s="144"/>
      <c r="I43" s="25"/>
      <c r="J43" s="25"/>
      <c r="K43" s="25"/>
    </row>
    <row r="44" spans="1:16">
      <c r="A44" s="144"/>
      <c r="B44" s="77" t="s">
        <v>21</v>
      </c>
      <c r="C44" s="77" t="s">
        <v>161</v>
      </c>
      <c r="D44" s="76" t="s">
        <v>164</v>
      </c>
      <c r="E44" s="65" t="s">
        <v>167</v>
      </c>
      <c r="F44" s="76">
        <f t="shared" si="7"/>
        <v>3.8</v>
      </c>
      <c r="G44" s="249" t="str">
        <f t="shared" si="8"/>
        <v>A2_B2_C2</v>
      </c>
      <c r="H44" s="144"/>
      <c r="I44" s="25"/>
      <c r="J44" s="25"/>
      <c r="K44" s="25"/>
    </row>
    <row r="45" spans="1:16">
      <c r="A45" s="144"/>
      <c r="B45" s="81" t="s">
        <v>21</v>
      </c>
      <c r="C45" s="81" t="s">
        <v>161</v>
      </c>
      <c r="D45" s="118" t="s">
        <v>165</v>
      </c>
      <c r="E45" s="72" t="s">
        <v>167</v>
      </c>
      <c r="F45" s="118">
        <f t="shared" si="7"/>
        <v>3.4</v>
      </c>
      <c r="G45" s="250" t="str">
        <f t="shared" si="8"/>
        <v>A2_B3_C2</v>
      </c>
      <c r="H45" s="144"/>
      <c r="I45" s="25"/>
      <c r="J45" s="25"/>
      <c r="K45" s="25"/>
    </row>
    <row r="46" spans="1:16">
      <c r="A46" s="144"/>
      <c r="B46" s="77" t="s">
        <v>22</v>
      </c>
      <c r="C46" s="77" t="s">
        <v>160</v>
      </c>
      <c r="D46" s="76" t="s">
        <v>163</v>
      </c>
      <c r="E46" s="65" t="s">
        <v>166</v>
      </c>
      <c r="F46" s="76">
        <f t="shared" ref="F46:F57" si="9">IF(G13="","",G13)</f>
        <v>3.703416320672321</v>
      </c>
      <c r="G46" s="248" t="str">
        <f t="shared" si="8"/>
        <v>A1_B1_C1</v>
      </c>
      <c r="H46" s="144"/>
      <c r="I46" s="25"/>
      <c r="J46" s="25"/>
      <c r="K46" s="25"/>
    </row>
    <row r="47" spans="1:16">
      <c r="A47" s="144"/>
      <c r="B47" s="77" t="s">
        <v>22</v>
      </c>
      <c r="C47" s="77" t="s">
        <v>160</v>
      </c>
      <c r="D47" s="76" t="s">
        <v>164</v>
      </c>
      <c r="E47" s="65" t="s">
        <v>166</v>
      </c>
      <c r="F47" s="76">
        <f t="shared" si="9"/>
        <v>4.1098844550274283</v>
      </c>
      <c r="G47" s="249" t="str">
        <f t="shared" si="8"/>
        <v>A1_B2_C1</v>
      </c>
      <c r="H47" s="144"/>
      <c r="I47" s="25"/>
      <c r="J47" s="25"/>
      <c r="K47" s="25"/>
    </row>
    <row r="48" spans="1:16">
      <c r="A48" s="144"/>
      <c r="B48" s="77" t="s">
        <v>22</v>
      </c>
      <c r="C48" s="77" t="s">
        <v>160</v>
      </c>
      <c r="D48" s="76" t="s">
        <v>165</v>
      </c>
      <c r="E48" s="65" t="s">
        <v>166</v>
      </c>
      <c r="F48" s="76">
        <f t="shared" si="9"/>
        <v>3.1844321472970298</v>
      </c>
      <c r="G48" s="249" t="str">
        <f t="shared" si="8"/>
        <v>A1_B3_C1</v>
      </c>
      <c r="H48" s="144"/>
      <c r="I48" s="25"/>
      <c r="J48" s="25"/>
      <c r="K48" s="25"/>
    </row>
    <row r="49" spans="1:11">
      <c r="A49" s="144"/>
      <c r="B49" s="77" t="s">
        <v>22</v>
      </c>
      <c r="C49" s="77" t="s">
        <v>160</v>
      </c>
      <c r="D49" s="76" t="s">
        <v>163</v>
      </c>
      <c r="E49" s="65" t="s">
        <v>167</v>
      </c>
      <c r="F49" s="76">
        <f t="shared" si="9"/>
        <v>3.4016782892014867</v>
      </c>
      <c r="G49" s="249" t="str">
        <f t="shared" si="8"/>
        <v>A1_B1_C2</v>
      </c>
      <c r="H49" s="144"/>
      <c r="I49" s="25"/>
      <c r="J49" s="25"/>
      <c r="K49" s="25"/>
    </row>
    <row r="50" spans="1:11">
      <c r="A50" s="144"/>
      <c r="B50" s="77" t="s">
        <v>22</v>
      </c>
      <c r="C50" s="77" t="s">
        <v>160</v>
      </c>
      <c r="D50" s="76" t="s">
        <v>164</v>
      </c>
      <c r="E50" s="65" t="s">
        <v>167</v>
      </c>
      <c r="F50" s="76">
        <f t="shared" si="9"/>
        <v>2.5890059948434656</v>
      </c>
      <c r="G50" s="249" t="str">
        <f t="shared" si="8"/>
        <v>A1_B2_C2</v>
      </c>
      <c r="H50" s="144"/>
      <c r="I50" s="25"/>
      <c r="J50" s="25"/>
      <c r="K50" s="25"/>
    </row>
    <row r="51" spans="1:11">
      <c r="A51" s="144"/>
      <c r="B51" s="77" t="s">
        <v>22</v>
      </c>
      <c r="C51" s="77" t="s">
        <v>160</v>
      </c>
      <c r="D51" s="76" t="s">
        <v>165</v>
      </c>
      <c r="E51" s="65" t="s">
        <v>167</v>
      </c>
      <c r="F51" s="76">
        <f t="shared" si="9"/>
        <v>2.1045031132882701</v>
      </c>
      <c r="G51" s="249" t="str">
        <f t="shared" si="8"/>
        <v>A1_B3_C2</v>
      </c>
      <c r="H51" s="144"/>
      <c r="I51" s="25"/>
      <c r="J51" s="25"/>
      <c r="K51" s="25"/>
    </row>
    <row r="52" spans="1:11" ht="15.6">
      <c r="A52" s="140"/>
      <c r="B52" s="77" t="s">
        <v>22</v>
      </c>
      <c r="C52" s="77" t="s">
        <v>161</v>
      </c>
      <c r="D52" s="76" t="s">
        <v>163</v>
      </c>
      <c r="E52" s="65" t="s">
        <v>166</v>
      </c>
      <c r="F52" s="76">
        <f t="shared" si="9"/>
        <v>4.7498108698419497</v>
      </c>
      <c r="G52" s="249" t="str">
        <f t="shared" si="8"/>
        <v>A2_B1_C1</v>
      </c>
      <c r="H52" s="144"/>
      <c r="I52" s="25"/>
      <c r="J52" s="25"/>
      <c r="K52" s="25"/>
    </row>
    <row r="53" spans="1:11" ht="15.6">
      <c r="A53" s="146"/>
      <c r="B53" s="77" t="s">
        <v>22</v>
      </c>
      <c r="C53" s="77" t="s">
        <v>161</v>
      </c>
      <c r="D53" s="76" t="s">
        <v>164</v>
      </c>
      <c r="E53" s="65" t="s">
        <v>166</v>
      </c>
      <c r="F53" s="76">
        <f t="shared" si="9"/>
        <v>4.1669402332278249</v>
      </c>
      <c r="G53" s="249" t="str">
        <f t="shared" si="8"/>
        <v>A2_B2_C1</v>
      </c>
      <c r="H53" s="146"/>
      <c r="I53" s="25"/>
      <c r="J53" s="25"/>
      <c r="K53" s="25"/>
    </row>
    <row r="54" spans="1:11" ht="15.75" customHeight="1">
      <c r="A54" s="186"/>
      <c r="B54" s="77" t="s">
        <v>22</v>
      </c>
      <c r="C54" s="77" t="s">
        <v>161</v>
      </c>
      <c r="D54" s="76" t="s">
        <v>165</v>
      </c>
      <c r="E54" s="65" t="s">
        <v>166</v>
      </c>
      <c r="F54" s="76">
        <f t="shared" si="9"/>
        <v>4.3439311989189129</v>
      </c>
      <c r="G54" s="249" t="str">
        <f t="shared" si="8"/>
        <v>A2_B3_C1</v>
      </c>
      <c r="H54" s="147"/>
      <c r="I54" s="25"/>
      <c r="J54" s="25"/>
      <c r="K54" s="25"/>
    </row>
    <row r="55" spans="1:11" ht="15" customHeight="1">
      <c r="A55" s="186"/>
      <c r="B55" s="77" t="s">
        <v>22</v>
      </c>
      <c r="C55" s="77" t="s">
        <v>161</v>
      </c>
      <c r="D55" s="76" t="s">
        <v>163</v>
      </c>
      <c r="E55" s="65" t="s">
        <v>167</v>
      </c>
      <c r="F55" s="76">
        <f t="shared" si="9"/>
        <v>6.4152153767259836</v>
      </c>
      <c r="G55" s="249" t="str">
        <f t="shared" si="8"/>
        <v>A2_B1_C2</v>
      </c>
      <c r="H55" s="147"/>
      <c r="I55" s="25"/>
      <c r="J55" s="25"/>
      <c r="K55" s="25"/>
    </row>
    <row r="56" spans="1:11" ht="15" customHeight="1">
      <c r="A56" s="186"/>
      <c r="B56" s="77" t="s">
        <v>22</v>
      </c>
      <c r="C56" s="77" t="s">
        <v>161</v>
      </c>
      <c r="D56" s="76" t="s">
        <v>164</v>
      </c>
      <c r="E56" s="65" t="s">
        <v>167</v>
      </c>
      <c r="F56" s="76">
        <f t="shared" si="9"/>
        <v>5.3106065984081328</v>
      </c>
      <c r="G56" s="249" t="str">
        <f t="shared" si="8"/>
        <v>A2_B2_C2</v>
      </c>
      <c r="H56" s="147"/>
      <c r="I56" s="25"/>
      <c r="J56" s="25"/>
      <c r="K56" s="25"/>
    </row>
    <row r="57" spans="1:11" ht="15" customHeight="1">
      <c r="A57" s="187"/>
      <c r="B57" s="81" t="s">
        <v>22</v>
      </c>
      <c r="C57" s="81" t="s">
        <v>161</v>
      </c>
      <c r="D57" s="118" t="s">
        <v>165</v>
      </c>
      <c r="E57" s="72" t="s">
        <v>167</v>
      </c>
      <c r="F57" s="118">
        <f t="shared" si="9"/>
        <v>5.3188821665008721</v>
      </c>
      <c r="G57" s="250" t="str">
        <f t="shared" si="8"/>
        <v>A2_B3_C2</v>
      </c>
      <c r="H57" s="147"/>
      <c r="I57" s="25"/>
      <c r="J57" s="25"/>
      <c r="K57" s="25"/>
    </row>
    <row r="58" spans="1:11" ht="15" customHeight="1">
      <c r="A58" s="187"/>
      <c r="B58" s="77" t="s">
        <v>23</v>
      </c>
      <c r="C58" s="77" t="s">
        <v>160</v>
      </c>
      <c r="D58" s="76" t="s">
        <v>163</v>
      </c>
      <c r="E58" s="65" t="s">
        <v>166</v>
      </c>
      <c r="F58" s="76" t="str">
        <f t="shared" ref="F58:F69" si="10">IF(H13="","",H13)</f>
        <v/>
      </c>
      <c r="G58" s="248" t="str">
        <f t="shared" si="8"/>
        <v/>
      </c>
      <c r="H58" s="147"/>
      <c r="I58" s="25"/>
      <c r="J58" s="25"/>
      <c r="K58" s="25"/>
    </row>
    <row r="59" spans="1:11" ht="15" customHeight="1">
      <c r="A59" s="187"/>
      <c r="B59" s="77" t="s">
        <v>23</v>
      </c>
      <c r="C59" s="77" t="s">
        <v>160</v>
      </c>
      <c r="D59" s="76" t="s">
        <v>164</v>
      </c>
      <c r="E59" s="65" t="s">
        <v>166</v>
      </c>
      <c r="F59" s="76" t="str">
        <f t="shared" si="10"/>
        <v/>
      </c>
      <c r="G59" s="249" t="str">
        <f t="shared" si="8"/>
        <v/>
      </c>
      <c r="H59" s="147"/>
      <c r="I59" s="25"/>
      <c r="J59" s="25"/>
      <c r="K59" s="25"/>
    </row>
    <row r="60" spans="1:11" ht="15" customHeight="1">
      <c r="A60" s="144"/>
      <c r="B60" s="77" t="s">
        <v>23</v>
      </c>
      <c r="C60" s="77" t="s">
        <v>160</v>
      </c>
      <c r="D60" s="76" t="s">
        <v>165</v>
      </c>
      <c r="E60" s="65" t="s">
        <v>166</v>
      </c>
      <c r="F60" s="76" t="str">
        <f t="shared" si="10"/>
        <v/>
      </c>
      <c r="G60" s="249" t="str">
        <f t="shared" si="8"/>
        <v/>
      </c>
      <c r="H60" s="144"/>
      <c r="I60" s="25"/>
      <c r="J60" s="25"/>
      <c r="K60" s="25"/>
    </row>
    <row r="61" spans="1:11" ht="15" customHeight="1">
      <c r="A61" s="144"/>
      <c r="B61" s="77" t="s">
        <v>23</v>
      </c>
      <c r="C61" s="77" t="s">
        <v>160</v>
      </c>
      <c r="D61" s="76" t="s">
        <v>163</v>
      </c>
      <c r="E61" s="65" t="s">
        <v>167</v>
      </c>
      <c r="F61" s="76" t="str">
        <f t="shared" si="10"/>
        <v/>
      </c>
      <c r="G61" s="249" t="str">
        <f t="shared" si="8"/>
        <v/>
      </c>
      <c r="H61" s="144"/>
      <c r="I61" s="25"/>
      <c r="J61" s="25"/>
      <c r="K61" s="25"/>
    </row>
    <row r="62" spans="1:11">
      <c r="A62" s="25"/>
      <c r="B62" s="77" t="s">
        <v>23</v>
      </c>
      <c r="C62" s="77" t="s">
        <v>160</v>
      </c>
      <c r="D62" s="76" t="s">
        <v>164</v>
      </c>
      <c r="E62" s="65" t="s">
        <v>167</v>
      </c>
      <c r="F62" s="76" t="str">
        <f t="shared" si="10"/>
        <v/>
      </c>
      <c r="G62" s="249" t="str">
        <f t="shared" si="8"/>
        <v/>
      </c>
      <c r="H62" s="25"/>
      <c r="I62" s="25"/>
      <c r="J62" s="25"/>
      <c r="K62" s="25"/>
    </row>
    <row r="63" spans="1:11">
      <c r="A63" s="25"/>
      <c r="B63" s="77" t="s">
        <v>23</v>
      </c>
      <c r="C63" s="77" t="s">
        <v>160</v>
      </c>
      <c r="D63" s="76" t="s">
        <v>165</v>
      </c>
      <c r="E63" s="65" t="s">
        <v>167</v>
      </c>
      <c r="F63" s="76" t="str">
        <f t="shared" si="10"/>
        <v/>
      </c>
      <c r="G63" s="249" t="str">
        <f t="shared" si="8"/>
        <v/>
      </c>
      <c r="H63" s="25"/>
      <c r="I63" s="25"/>
      <c r="J63" s="25"/>
      <c r="K63" s="25"/>
    </row>
    <row r="64" spans="1:11">
      <c r="A64" s="25"/>
      <c r="B64" s="77" t="s">
        <v>23</v>
      </c>
      <c r="C64" s="77" t="s">
        <v>161</v>
      </c>
      <c r="D64" s="76" t="s">
        <v>163</v>
      </c>
      <c r="E64" s="65" t="s">
        <v>166</v>
      </c>
      <c r="F64" s="76" t="str">
        <f t="shared" si="10"/>
        <v/>
      </c>
      <c r="G64" s="249" t="str">
        <f t="shared" si="8"/>
        <v/>
      </c>
      <c r="H64" s="25"/>
      <c r="I64" s="25"/>
      <c r="J64" s="25"/>
      <c r="K64" s="25"/>
    </row>
    <row r="65" spans="1:11">
      <c r="A65" s="25"/>
      <c r="B65" s="77" t="s">
        <v>23</v>
      </c>
      <c r="C65" s="77" t="s">
        <v>161</v>
      </c>
      <c r="D65" s="76" t="s">
        <v>164</v>
      </c>
      <c r="E65" s="65" t="s">
        <v>166</v>
      </c>
      <c r="F65" s="76" t="str">
        <f t="shared" si="10"/>
        <v/>
      </c>
      <c r="G65" s="249" t="str">
        <f t="shared" si="8"/>
        <v/>
      </c>
      <c r="H65" s="25"/>
      <c r="I65" s="25"/>
      <c r="J65" s="25"/>
      <c r="K65" s="25"/>
    </row>
    <row r="66" spans="1:11">
      <c r="B66" s="77" t="s">
        <v>23</v>
      </c>
      <c r="C66" s="77" t="s">
        <v>161</v>
      </c>
      <c r="D66" s="76" t="s">
        <v>165</v>
      </c>
      <c r="E66" s="65" t="s">
        <v>166</v>
      </c>
      <c r="F66" s="76" t="str">
        <f t="shared" si="10"/>
        <v/>
      </c>
      <c r="G66" s="249" t="str">
        <f t="shared" si="8"/>
        <v/>
      </c>
    </row>
    <row r="67" spans="1:11">
      <c r="B67" s="77" t="s">
        <v>23</v>
      </c>
      <c r="C67" s="77" t="s">
        <v>161</v>
      </c>
      <c r="D67" s="76" t="s">
        <v>163</v>
      </c>
      <c r="E67" s="65" t="s">
        <v>167</v>
      </c>
      <c r="F67" s="76" t="str">
        <f t="shared" si="10"/>
        <v/>
      </c>
      <c r="G67" s="249" t="str">
        <f t="shared" si="8"/>
        <v/>
      </c>
    </row>
    <row r="68" spans="1:11">
      <c r="B68" s="77" t="s">
        <v>23</v>
      </c>
      <c r="C68" s="77" t="s">
        <v>161</v>
      </c>
      <c r="D68" s="76" t="s">
        <v>164</v>
      </c>
      <c r="E68" s="65" t="s">
        <v>167</v>
      </c>
      <c r="F68" s="76" t="str">
        <f t="shared" si="10"/>
        <v/>
      </c>
      <c r="G68" s="249" t="str">
        <f t="shared" si="8"/>
        <v/>
      </c>
    </row>
    <row r="69" spans="1:11">
      <c r="B69" s="81" t="s">
        <v>23</v>
      </c>
      <c r="C69" s="81" t="s">
        <v>161</v>
      </c>
      <c r="D69" s="118" t="s">
        <v>165</v>
      </c>
      <c r="E69" s="72" t="s">
        <v>167</v>
      </c>
      <c r="F69" s="118" t="str">
        <f t="shared" si="10"/>
        <v/>
      </c>
      <c r="G69" s="250" t="str">
        <f t="shared" si="8"/>
        <v/>
      </c>
    </row>
    <row r="70" spans="1:11">
      <c r="B70" s="77" t="s">
        <v>24</v>
      </c>
      <c r="C70" s="77" t="s">
        <v>160</v>
      </c>
      <c r="D70" s="76" t="s">
        <v>163</v>
      </c>
      <c r="E70" s="65" t="s">
        <v>166</v>
      </c>
      <c r="F70" s="76" t="str">
        <f t="shared" ref="F70:F81" si="11">IF(I13="","",I13)</f>
        <v/>
      </c>
      <c r="G70" s="248" t="str">
        <f t="shared" si="8"/>
        <v/>
      </c>
    </row>
    <row r="71" spans="1:11">
      <c r="B71" s="77" t="s">
        <v>24</v>
      </c>
      <c r="C71" s="77" t="s">
        <v>160</v>
      </c>
      <c r="D71" s="76" t="s">
        <v>164</v>
      </c>
      <c r="E71" s="65" t="s">
        <v>166</v>
      </c>
      <c r="F71" s="76" t="str">
        <f t="shared" si="11"/>
        <v/>
      </c>
      <c r="G71" s="249" t="str">
        <f t="shared" si="8"/>
        <v/>
      </c>
    </row>
    <row r="72" spans="1:11">
      <c r="B72" s="77" t="s">
        <v>24</v>
      </c>
      <c r="C72" s="77" t="s">
        <v>160</v>
      </c>
      <c r="D72" s="76" t="s">
        <v>165</v>
      </c>
      <c r="E72" s="65" t="s">
        <v>166</v>
      </c>
      <c r="F72" s="76" t="str">
        <f t="shared" si="11"/>
        <v/>
      </c>
      <c r="G72" s="249" t="str">
        <f t="shared" si="8"/>
        <v/>
      </c>
    </row>
    <row r="73" spans="1:11">
      <c r="B73" s="77" t="s">
        <v>24</v>
      </c>
      <c r="C73" s="77" t="s">
        <v>160</v>
      </c>
      <c r="D73" s="76" t="s">
        <v>163</v>
      </c>
      <c r="E73" s="65" t="s">
        <v>167</v>
      </c>
      <c r="F73" s="76" t="str">
        <f t="shared" si="11"/>
        <v/>
      </c>
      <c r="G73" s="249" t="str">
        <f t="shared" si="8"/>
        <v/>
      </c>
    </row>
    <row r="74" spans="1:11">
      <c r="B74" s="77" t="s">
        <v>24</v>
      </c>
      <c r="C74" s="77" t="s">
        <v>160</v>
      </c>
      <c r="D74" s="76" t="s">
        <v>164</v>
      </c>
      <c r="E74" s="65" t="s">
        <v>167</v>
      </c>
      <c r="F74" s="76" t="str">
        <f t="shared" si="11"/>
        <v/>
      </c>
      <c r="G74" s="249" t="str">
        <f t="shared" si="8"/>
        <v/>
      </c>
    </row>
    <row r="75" spans="1:11">
      <c r="B75" s="77" t="s">
        <v>24</v>
      </c>
      <c r="C75" s="77" t="s">
        <v>160</v>
      </c>
      <c r="D75" s="76" t="s">
        <v>165</v>
      </c>
      <c r="E75" s="65" t="s">
        <v>167</v>
      </c>
      <c r="F75" s="76" t="str">
        <f t="shared" si="11"/>
        <v/>
      </c>
      <c r="G75" s="249" t="str">
        <f t="shared" si="8"/>
        <v/>
      </c>
    </row>
    <row r="76" spans="1:11">
      <c r="B76" s="77" t="s">
        <v>24</v>
      </c>
      <c r="C76" s="77" t="s">
        <v>161</v>
      </c>
      <c r="D76" s="76" t="s">
        <v>163</v>
      </c>
      <c r="E76" s="65" t="s">
        <v>166</v>
      </c>
      <c r="F76" s="76" t="str">
        <f t="shared" si="11"/>
        <v/>
      </c>
      <c r="G76" s="249" t="str">
        <f t="shared" si="8"/>
        <v/>
      </c>
    </row>
    <row r="77" spans="1:11">
      <c r="B77" s="77" t="s">
        <v>24</v>
      </c>
      <c r="C77" s="77" t="s">
        <v>161</v>
      </c>
      <c r="D77" s="76" t="s">
        <v>164</v>
      </c>
      <c r="E77" s="65" t="s">
        <v>166</v>
      </c>
      <c r="F77" s="76" t="str">
        <f t="shared" si="11"/>
        <v/>
      </c>
      <c r="G77" s="249" t="str">
        <f t="shared" si="8"/>
        <v/>
      </c>
    </row>
    <row r="78" spans="1:11">
      <c r="B78" s="77" t="s">
        <v>24</v>
      </c>
      <c r="C78" s="77" t="s">
        <v>161</v>
      </c>
      <c r="D78" s="76" t="s">
        <v>165</v>
      </c>
      <c r="E78" s="65" t="s">
        <v>166</v>
      </c>
      <c r="F78" s="76" t="str">
        <f t="shared" si="11"/>
        <v/>
      </c>
      <c r="G78" s="249" t="str">
        <f t="shared" si="8"/>
        <v/>
      </c>
    </row>
    <row r="79" spans="1:11">
      <c r="B79" s="77" t="s">
        <v>24</v>
      </c>
      <c r="C79" s="77" t="s">
        <v>161</v>
      </c>
      <c r="D79" s="76" t="s">
        <v>163</v>
      </c>
      <c r="E79" s="65" t="s">
        <v>167</v>
      </c>
      <c r="F79" s="76" t="str">
        <f t="shared" si="11"/>
        <v/>
      </c>
      <c r="G79" s="249" t="str">
        <f t="shared" si="8"/>
        <v/>
      </c>
    </row>
    <row r="80" spans="1:11">
      <c r="B80" s="77" t="s">
        <v>24</v>
      </c>
      <c r="C80" s="77" t="s">
        <v>161</v>
      </c>
      <c r="D80" s="76" t="s">
        <v>164</v>
      </c>
      <c r="E80" s="65" t="s">
        <v>167</v>
      </c>
      <c r="F80" s="76" t="str">
        <f t="shared" si="11"/>
        <v/>
      </c>
      <c r="G80" s="249" t="str">
        <f t="shared" si="8"/>
        <v/>
      </c>
    </row>
    <row r="81" spans="1:8">
      <c r="B81" s="81" t="s">
        <v>24</v>
      </c>
      <c r="C81" s="81" t="s">
        <v>161</v>
      </c>
      <c r="D81" s="118" t="s">
        <v>165</v>
      </c>
      <c r="E81" s="72" t="s">
        <v>167</v>
      </c>
      <c r="F81" s="118" t="str">
        <f t="shared" si="11"/>
        <v/>
      </c>
      <c r="G81" s="250" t="str">
        <f t="shared" si="8"/>
        <v/>
      </c>
    </row>
    <row r="82" spans="1:8">
      <c r="B82" s="77" t="s">
        <v>25</v>
      </c>
      <c r="C82" s="77" t="s">
        <v>160</v>
      </c>
      <c r="D82" s="76" t="s">
        <v>163</v>
      </c>
      <c r="E82" s="65" t="s">
        <v>166</v>
      </c>
      <c r="F82" s="76" t="str">
        <f t="shared" ref="F82:F93" si="12">IF(J13="","",J13)</f>
        <v/>
      </c>
      <c r="G82" s="248" t="str">
        <f t="shared" si="8"/>
        <v/>
      </c>
    </row>
    <row r="83" spans="1:8">
      <c r="B83" s="77" t="s">
        <v>25</v>
      </c>
      <c r="C83" s="77" t="s">
        <v>160</v>
      </c>
      <c r="D83" s="76" t="s">
        <v>164</v>
      </c>
      <c r="E83" s="65" t="s">
        <v>166</v>
      </c>
      <c r="F83" s="76" t="str">
        <f t="shared" si="12"/>
        <v/>
      </c>
      <c r="G83" s="249" t="str">
        <f t="shared" si="8"/>
        <v/>
      </c>
    </row>
    <row r="84" spans="1:8">
      <c r="B84" s="77" t="s">
        <v>25</v>
      </c>
      <c r="C84" s="77" t="s">
        <v>160</v>
      </c>
      <c r="D84" s="76" t="s">
        <v>165</v>
      </c>
      <c r="E84" s="65" t="s">
        <v>166</v>
      </c>
      <c r="F84" s="76" t="str">
        <f t="shared" si="12"/>
        <v/>
      </c>
      <c r="G84" s="249" t="str">
        <f t="shared" si="8"/>
        <v/>
      </c>
    </row>
    <row r="85" spans="1:8">
      <c r="B85" s="77" t="s">
        <v>25</v>
      </c>
      <c r="C85" s="77" t="s">
        <v>160</v>
      </c>
      <c r="D85" s="76" t="s">
        <v>163</v>
      </c>
      <c r="E85" s="65" t="s">
        <v>167</v>
      </c>
      <c r="F85" s="76" t="str">
        <f t="shared" si="12"/>
        <v/>
      </c>
      <c r="G85" s="249" t="str">
        <f t="shared" si="8"/>
        <v/>
      </c>
    </row>
    <row r="86" spans="1:8">
      <c r="B86" s="77" t="s">
        <v>25</v>
      </c>
      <c r="C86" s="77" t="s">
        <v>160</v>
      </c>
      <c r="D86" s="76" t="s">
        <v>164</v>
      </c>
      <c r="E86" s="65" t="s">
        <v>167</v>
      </c>
      <c r="F86" s="76" t="str">
        <f t="shared" si="12"/>
        <v/>
      </c>
      <c r="G86" s="249" t="str">
        <f t="shared" si="8"/>
        <v/>
      </c>
    </row>
    <row r="87" spans="1:8">
      <c r="B87" s="77" t="s">
        <v>25</v>
      </c>
      <c r="C87" s="77" t="s">
        <v>160</v>
      </c>
      <c r="D87" s="76" t="s">
        <v>165</v>
      </c>
      <c r="E87" s="65" t="s">
        <v>167</v>
      </c>
      <c r="F87" s="76" t="str">
        <f t="shared" si="12"/>
        <v/>
      </c>
      <c r="G87" s="249" t="str">
        <f t="shared" si="8"/>
        <v/>
      </c>
    </row>
    <row r="88" spans="1:8">
      <c r="B88" s="77" t="s">
        <v>25</v>
      </c>
      <c r="C88" s="77" t="s">
        <v>161</v>
      </c>
      <c r="D88" s="76" t="s">
        <v>163</v>
      </c>
      <c r="E88" s="65" t="s">
        <v>166</v>
      </c>
      <c r="F88" s="76" t="str">
        <f t="shared" si="12"/>
        <v/>
      </c>
      <c r="G88" s="249" t="str">
        <f t="shared" si="8"/>
        <v/>
      </c>
    </row>
    <row r="89" spans="1:8">
      <c r="B89" s="77" t="s">
        <v>25</v>
      </c>
      <c r="C89" s="77" t="s">
        <v>161</v>
      </c>
      <c r="D89" s="76" t="s">
        <v>164</v>
      </c>
      <c r="E89" s="65" t="s">
        <v>166</v>
      </c>
      <c r="F89" s="76" t="str">
        <f t="shared" si="12"/>
        <v/>
      </c>
      <c r="G89" s="249" t="str">
        <f t="shared" si="8"/>
        <v/>
      </c>
    </row>
    <row r="90" spans="1:8">
      <c r="B90" s="77" t="s">
        <v>25</v>
      </c>
      <c r="C90" s="77" t="s">
        <v>161</v>
      </c>
      <c r="D90" s="76" t="s">
        <v>165</v>
      </c>
      <c r="E90" s="65" t="s">
        <v>166</v>
      </c>
      <c r="F90" s="76" t="str">
        <f t="shared" si="12"/>
        <v/>
      </c>
      <c r="G90" s="249" t="str">
        <f t="shared" si="8"/>
        <v/>
      </c>
    </row>
    <row r="91" spans="1:8">
      <c r="B91" s="77" t="s">
        <v>25</v>
      </c>
      <c r="C91" s="77" t="s">
        <v>161</v>
      </c>
      <c r="D91" s="76" t="s">
        <v>163</v>
      </c>
      <c r="E91" s="65" t="s">
        <v>167</v>
      </c>
      <c r="F91" s="76" t="str">
        <f t="shared" si="12"/>
        <v/>
      </c>
      <c r="G91" s="249" t="str">
        <f t="shared" si="8"/>
        <v/>
      </c>
    </row>
    <row r="92" spans="1:8">
      <c r="B92" s="77" t="s">
        <v>25</v>
      </c>
      <c r="C92" s="77" t="s">
        <v>161</v>
      </c>
      <c r="D92" s="76" t="s">
        <v>164</v>
      </c>
      <c r="E92" s="65" t="s">
        <v>167</v>
      </c>
      <c r="F92" s="76" t="str">
        <f t="shared" si="12"/>
        <v/>
      </c>
      <c r="G92" s="249" t="str">
        <f t="shared" si="8"/>
        <v/>
      </c>
    </row>
    <row r="93" spans="1:8">
      <c r="B93" s="81" t="s">
        <v>25</v>
      </c>
      <c r="C93" s="81" t="s">
        <v>161</v>
      </c>
      <c r="D93" s="118" t="s">
        <v>165</v>
      </c>
      <c r="E93" s="72" t="s">
        <v>167</v>
      </c>
      <c r="F93" s="118" t="str">
        <f t="shared" si="12"/>
        <v/>
      </c>
      <c r="G93" s="250" t="str">
        <f t="shared" si="8"/>
        <v/>
      </c>
    </row>
    <row r="96" spans="1:8" ht="14.4">
      <c r="A96" s="237" t="s">
        <v>191</v>
      </c>
      <c r="B96" s="238"/>
      <c r="C96" s="238"/>
      <c r="D96" s="238"/>
      <c r="E96" s="238"/>
      <c r="F96" s="238"/>
      <c r="G96" s="238"/>
      <c r="H96" s="238"/>
    </row>
    <row r="98" spans="2:8">
      <c r="B98" s="35" t="s">
        <v>192</v>
      </c>
    </row>
    <row r="99" spans="2:8">
      <c r="B99" s="35"/>
      <c r="C99" s="35" t="s">
        <v>193</v>
      </c>
    </row>
    <row r="101" spans="2:8" ht="15.6">
      <c r="B101" s="24" t="s">
        <v>194</v>
      </c>
      <c r="D101" s="203"/>
      <c r="E101" s="203"/>
    </row>
    <row r="102" spans="2:8" ht="15.6">
      <c r="B102" s="35" t="s">
        <v>212</v>
      </c>
      <c r="D102" s="203"/>
      <c r="E102" s="203"/>
    </row>
    <row r="103" spans="2:8" ht="15.6">
      <c r="B103" s="35"/>
      <c r="C103" s="240" t="s">
        <v>214</v>
      </c>
      <c r="D103" s="251"/>
      <c r="E103" s="251"/>
      <c r="F103" s="238"/>
      <c r="G103" s="238"/>
      <c r="H103" s="238"/>
    </row>
    <row r="104" spans="2:8" ht="15.6">
      <c r="B104" s="35"/>
      <c r="C104" s="240" t="s">
        <v>215</v>
      </c>
      <c r="D104" s="251"/>
      <c r="E104" s="251"/>
      <c r="F104" s="238"/>
      <c r="G104" s="238"/>
      <c r="H104" s="238"/>
    </row>
    <row r="105" spans="2:8" ht="15.6">
      <c r="B105" s="35"/>
      <c r="C105" s="240" t="s">
        <v>216</v>
      </c>
      <c r="D105" s="251"/>
      <c r="E105" s="251"/>
      <c r="F105" s="238"/>
      <c r="G105" s="238"/>
      <c r="H105" s="238"/>
    </row>
    <row r="106" spans="2:8" ht="15.6">
      <c r="B106" s="35"/>
      <c r="D106" s="203"/>
      <c r="E106" s="203"/>
    </row>
    <row r="107" spans="2:8">
      <c r="B107" s="35" t="s">
        <v>213</v>
      </c>
    </row>
    <row r="108" spans="2:8">
      <c r="B108" s="35" t="s">
        <v>200</v>
      </c>
    </row>
    <row r="109" spans="2:8" ht="13.8">
      <c r="B109" s="35"/>
      <c r="C109" s="240" t="s">
        <v>202</v>
      </c>
      <c r="D109" s="240"/>
      <c r="E109" s="240"/>
      <c r="F109" s="240"/>
      <c r="G109" s="238"/>
      <c r="H109" s="238"/>
    </row>
    <row r="110" spans="2:8" ht="13.8">
      <c r="B110" s="35"/>
      <c r="C110" s="240" t="s">
        <v>203</v>
      </c>
      <c r="D110" s="238"/>
      <c r="E110" s="238"/>
      <c r="F110" s="238"/>
      <c r="G110" s="238"/>
      <c r="H110" s="238"/>
    </row>
    <row r="111" spans="2:8">
      <c r="B111" s="35"/>
    </row>
    <row r="112" spans="2:8">
      <c r="B112" s="35" t="s">
        <v>201</v>
      </c>
    </row>
    <row r="113" spans="1:8">
      <c r="B113" s="35"/>
      <c r="C113" s="35" t="s">
        <v>238</v>
      </c>
    </row>
    <row r="114" spans="1:8">
      <c r="B114" s="35"/>
      <c r="C114" s="263" t="s">
        <v>239</v>
      </c>
    </row>
    <row r="115" spans="1:8">
      <c r="B115" s="35"/>
      <c r="C115" s="35" t="s">
        <v>244</v>
      </c>
    </row>
    <row r="116" spans="1:8">
      <c r="B116" s="35"/>
      <c r="C116" s="263" t="s">
        <v>240</v>
      </c>
    </row>
    <row r="117" spans="1:8">
      <c r="B117" s="35"/>
      <c r="C117" s="35" t="s">
        <v>241</v>
      </c>
    </row>
    <row r="118" spans="1:8">
      <c r="B118" s="35"/>
      <c r="C118" s="35" t="s">
        <v>242</v>
      </c>
    </row>
    <row r="119" spans="1:8">
      <c r="B119" s="35"/>
      <c r="C119" s="35"/>
    </row>
    <row r="120" spans="1:8">
      <c r="B120" s="35"/>
      <c r="C120" s="35" t="s">
        <v>243</v>
      </c>
    </row>
    <row r="121" spans="1:8" ht="13.8">
      <c r="C121" s="240" t="s">
        <v>217</v>
      </c>
      <c r="D121" s="238"/>
      <c r="E121" s="238"/>
      <c r="F121" s="238"/>
      <c r="G121" s="238"/>
      <c r="H121" s="238"/>
    </row>
    <row r="122" spans="1:8" ht="13.8">
      <c r="C122" s="240" t="s">
        <v>215</v>
      </c>
      <c r="D122" s="238"/>
      <c r="E122" s="238"/>
      <c r="F122" s="238"/>
      <c r="G122" s="238"/>
      <c r="H122" s="238"/>
    </row>
    <row r="123" spans="1:8" ht="13.8">
      <c r="C123" s="240" t="s">
        <v>216</v>
      </c>
      <c r="D123" s="238"/>
      <c r="E123" s="238"/>
      <c r="F123" s="238"/>
      <c r="G123" s="238"/>
      <c r="H123" s="238"/>
    </row>
    <row r="124" spans="1:8" ht="15.6">
      <c r="A124" s="203"/>
      <c r="D124" s="203"/>
      <c r="E124" s="203"/>
      <c r="F124" s="203"/>
      <c r="G124" s="203"/>
      <c r="H124" s="203"/>
    </row>
    <row r="125" spans="1:8" ht="15.6">
      <c r="A125" s="203"/>
      <c r="C125" s="35" t="s">
        <v>245</v>
      </c>
      <c r="D125" s="203"/>
      <c r="E125" s="203"/>
      <c r="F125" s="203"/>
      <c r="G125" s="203"/>
      <c r="H125" s="203"/>
    </row>
    <row r="126" spans="1:8" ht="15.6">
      <c r="A126" s="203"/>
      <c r="C126" s="240" t="s">
        <v>246</v>
      </c>
      <c r="D126" s="251"/>
      <c r="E126" s="251"/>
      <c r="F126" s="251"/>
      <c r="G126" s="251"/>
      <c r="H126" s="251"/>
    </row>
    <row r="127" spans="1:8" ht="15.6">
      <c r="A127" s="203"/>
      <c r="C127" s="240" t="s">
        <v>202</v>
      </c>
      <c r="D127" s="251"/>
      <c r="E127" s="251"/>
      <c r="F127" s="251"/>
      <c r="G127" s="251"/>
      <c r="H127" s="251"/>
    </row>
    <row r="128" spans="1:8" ht="15.6">
      <c r="A128" s="203"/>
      <c r="C128" s="240" t="s">
        <v>254</v>
      </c>
      <c r="D128" s="251"/>
      <c r="E128" s="251"/>
      <c r="F128" s="251"/>
      <c r="G128" s="251"/>
      <c r="H128" s="251"/>
    </row>
    <row r="129" spans="1:8" ht="15.6">
      <c r="A129" s="203"/>
      <c r="C129" s="240" t="s">
        <v>215</v>
      </c>
      <c r="D129" s="251"/>
      <c r="E129" s="251"/>
      <c r="F129" s="251"/>
      <c r="G129" s="251"/>
      <c r="H129" s="251"/>
    </row>
    <row r="130" spans="1:8" ht="15.6">
      <c r="A130" s="203"/>
      <c r="C130" s="240" t="s">
        <v>255</v>
      </c>
      <c r="D130" s="251"/>
      <c r="E130" s="251"/>
      <c r="F130" s="251"/>
      <c r="G130" s="251"/>
      <c r="H130" s="251"/>
    </row>
    <row r="131" spans="1:8" ht="15.6">
      <c r="A131" s="203"/>
      <c r="D131" s="203"/>
      <c r="E131" s="203"/>
      <c r="F131" s="203"/>
      <c r="G131" s="203"/>
      <c r="H131" s="203"/>
    </row>
    <row r="132" spans="1:8" ht="15.6">
      <c r="A132" s="203"/>
      <c r="B132" s="35" t="s">
        <v>258</v>
      </c>
      <c r="D132" s="203"/>
      <c r="E132" s="203"/>
      <c r="F132" s="203"/>
      <c r="G132" s="203"/>
      <c r="H132" s="203"/>
    </row>
    <row r="133" spans="1:8" ht="15.6">
      <c r="A133" s="203"/>
      <c r="C133" s="240" t="s">
        <v>256</v>
      </c>
      <c r="D133" s="251"/>
      <c r="E133" s="251"/>
      <c r="F133" s="251"/>
      <c r="G133" s="251"/>
      <c r="H133" s="251"/>
    </row>
    <row r="134" spans="1:8" ht="15.6">
      <c r="A134" s="203"/>
      <c r="B134" s="203"/>
      <c r="C134" s="240" t="s">
        <v>271</v>
      </c>
      <c r="D134" s="251"/>
      <c r="E134" s="251"/>
      <c r="F134" s="251"/>
      <c r="G134" s="251"/>
      <c r="H134" s="251"/>
    </row>
    <row r="135" spans="1:8" ht="13.8">
      <c r="C135" s="240" t="s">
        <v>257</v>
      </c>
      <c r="D135" s="238"/>
      <c r="E135" s="238"/>
      <c r="F135" s="238"/>
      <c r="G135" s="238"/>
      <c r="H135" s="238"/>
    </row>
    <row r="140" spans="1:8">
      <c r="A140" s="264" t="s">
        <v>284</v>
      </c>
    </row>
  </sheetData>
  <sheetProtection sheet="1" objects="1" scenarios="1" formatCells="0"/>
  <mergeCells count="6">
    <mergeCell ref="G9:H9"/>
    <mergeCell ref="D2:H2"/>
    <mergeCell ref="D3:H3"/>
    <mergeCell ref="D4:H4"/>
    <mergeCell ref="G7:H7"/>
    <mergeCell ref="G8:H8"/>
  </mergeCells>
  <phoneticPr fontId="6" type="noConversion"/>
  <hyperlinks>
    <hyperlink ref="A140" r:id="rId1"/>
  </hyperlinks>
  <printOptions gridLines="1" gridLinesSet="0"/>
  <pageMargins left="0.78740157499999996" right="0.78740157499999996" top="0.984251969" bottom="0.984251969" header="0.4921259845" footer="0.4921259845"/>
  <pageSetup paperSize="9" orientation="portrait" horizontalDpi="360" verticalDpi="360" copies="0" r:id="rId2"/>
  <headerFooter alignWithMargins="0">
    <oddHeader>&amp;A</oddHeader>
    <oddFooter>Page &amp;P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B1:E41"/>
  <sheetViews>
    <sheetView workbookViewId="0"/>
  </sheetViews>
  <sheetFormatPr baseColWidth="10" defaultRowHeight="13.2"/>
  <sheetData>
    <row r="1" spans="2:5" ht="13.8" thickBot="1"/>
    <row r="2" spans="2:5">
      <c r="B2" s="4">
        <v>1</v>
      </c>
      <c r="C2" s="5">
        <v>25.033333333333324</v>
      </c>
    </row>
    <row r="3" spans="2:5" ht="13.8" thickBot="1">
      <c r="B3" s="1">
        <v>2</v>
      </c>
      <c r="C3" s="3">
        <v>24.6111111111111</v>
      </c>
    </row>
    <row r="5" spans="2:5" ht="13.8" thickBot="1"/>
    <row r="6" spans="2:5">
      <c r="B6" s="4">
        <v>1</v>
      </c>
      <c r="C6" s="5">
        <v>9.5333333333333243</v>
      </c>
      <c r="D6" s="5">
        <v>24.23333333333332</v>
      </c>
      <c r="E6" s="5">
        <v>41.333333333333321</v>
      </c>
    </row>
    <row r="7" spans="2:5" ht="13.8" thickBot="1">
      <c r="B7" s="1">
        <v>2</v>
      </c>
      <c r="C7" s="3">
        <v>14.266666666666652</v>
      </c>
      <c r="D7" s="3">
        <v>16.633333333333319</v>
      </c>
      <c r="E7" s="3">
        <v>42.93333333333333</v>
      </c>
    </row>
    <row r="9" spans="2:5" ht="13.8" thickBot="1"/>
    <row r="10" spans="2:5">
      <c r="B10" s="4">
        <v>1</v>
      </c>
      <c r="C10" s="5">
        <v>18.23333333333332</v>
      </c>
      <c r="D10" s="5">
        <v>25.733333333333327</v>
      </c>
      <c r="E10" s="5">
        <v>31.133333333333326</v>
      </c>
    </row>
    <row r="11" spans="2:5" ht="13.8" thickBot="1">
      <c r="B11" s="1">
        <v>2</v>
      </c>
      <c r="C11" s="3">
        <v>11.266666666666644</v>
      </c>
      <c r="D11" s="3">
        <v>26.833333333333325</v>
      </c>
      <c r="E11" s="3">
        <v>35.733333333333327</v>
      </c>
    </row>
    <row r="13" spans="2:5" ht="13.8" thickBot="1"/>
    <row r="14" spans="2:5">
      <c r="B14" s="4">
        <v>1</v>
      </c>
      <c r="C14" s="5">
        <v>11.9</v>
      </c>
    </row>
    <row r="15" spans="2:5">
      <c r="B15">
        <v>2</v>
      </c>
      <c r="C15" s="2">
        <v>20.433333333333316</v>
      </c>
    </row>
    <row r="16" spans="2:5" ht="13.8" thickBot="1">
      <c r="B16" s="1">
        <v>3</v>
      </c>
      <c r="C16" s="3">
        <v>42.133333333333326</v>
      </c>
    </row>
    <row r="18" spans="2:5" ht="13.8" thickBot="1"/>
    <row r="19" spans="2:5">
      <c r="B19" s="4">
        <v>1</v>
      </c>
      <c r="C19" s="5">
        <v>9.5333333333333243</v>
      </c>
      <c r="D19" s="5">
        <v>14.266666666666652</v>
      </c>
    </row>
    <row r="20" spans="2:5">
      <c r="B20">
        <v>2</v>
      </c>
      <c r="C20" s="2">
        <v>24.23333333333332</v>
      </c>
      <c r="D20" s="2">
        <v>16.633333333333319</v>
      </c>
    </row>
    <row r="21" spans="2:5" ht="13.8" thickBot="1">
      <c r="B21" s="1">
        <v>3</v>
      </c>
      <c r="C21" s="3">
        <v>41.333333333333321</v>
      </c>
      <c r="D21" s="3">
        <v>42.93333333333333</v>
      </c>
    </row>
    <row r="23" spans="2:5" ht="13.8" thickBot="1"/>
    <row r="24" spans="2:5">
      <c r="B24" s="4">
        <v>1</v>
      </c>
      <c r="C24" s="5">
        <v>4.3499999999999943</v>
      </c>
      <c r="D24" s="5">
        <v>11.05</v>
      </c>
      <c r="E24" s="5">
        <v>20.3</v>
      </c>
    </row>
    <row r="25" spans="2:5">
      <c r="B25">
        <v>2</v>
      </c>
      <c r="C25" s="2">
        <v>11.4</v>
      </c>
      <c r="D25" s="2">
        <v>22.35</v>
      </c>
      <c r="E25" s="2">
        <v>27.55</v>
      </c>
    </row>
    <row r="26" spans="2:5" ht="13.8" thickBot="1">
      <c r="B26" s="1">
        <v>3</v>
      </c>
      <c r="C26" s="3">
        <v>28.5</v>
      </c>
      <c r="D26" s="3">
        <v>45.45</v>
      </c>
      <c r="E26" s="3">
        <v>52.45</v>
      </c>
    </row>
    <row r="28" spans="2:5" ht="13.8" thickBot="1"/>
    <row r="29" spans="2:5">
      <c r="B29" s="4">
        <v>1</v>
      </c>
      <c r="C29" s="5">
        <v>14.75</v>
      </c>
    </row>
    <row r="30" spans="2:5">
      <c r="B30">
        <v>2</v>
      </c>
      <c r="C30" s="2">
        <v>26.283333333333328</v>
      </c>
    </row>
    <row r="31" spans="2:5" ht="13.8" thickBot="1">
      <c r="B31" s="1">
        <v>3</v>
      </c>
      <c r="C31" s="3">
        <v>33.433333333333323</v>
      </c>
    </row>
    <row r="33" spans="2:5" ht="13.8" thickBot="1"/>
    <row r="34" spans="2:5">
      <c r="B34" s="4">
        <v>1</v>
      </c>
      <c r="C34" s="5">
        <v>18.23333333333332</v>
      </c>
      <c r="D34" s="5">
        <v>11.266666666666644</v>
      </c>
    </row>
    <row r="35" spans="2:5">
      <c r="B35">
        <v>2</v>
      </c>
      <c r="C35" s="2">
        <v>25.733333333333327</v>
      </c>
      <c r="D35" s="2">
        <v>26.833333333333325</v>
      </c>
    </row>
    <row r="36" spans="2:5" ht="13.8" thickBot="1">
      <c r="B36" s="1">
        <v>3</v>
      </c>
      <c r="C36" s="3">
        <v>31.133333333333326</v>
      </c>
      <c r="D36" s="3">
        <v>35.733333333333327</v>
      </c>
    </row>
    <row r="38" spans="2:5" ht="13.8" thickBot="1"/>
    <row r="39" spans="2:5">
      <c r="B39" s="4">
        <v>1</v>
      </c>
      <c r="C39" s="5">
        <v>4.3499999999999943</v>
      </c>
      <c r="D39" s="5">
        <v>11.4</v>
      </c>
      <c r="E39" s="5">
        <v>28.5</v>
      </c>
    </row>
    <row r="40" spans="2:5">
      <c r="B40">
        <v>2</v>
      </c>
      <c r="C40" s="2">
        <v>11.05</v>
      </c>
      <c r="D40" s="2">
        <v>22.35</v>
      </c>
      <c r="E40" s="2">
        <v>45.45</v>
      </c>
    </row>
    <row r="41" spans="2:5" ht="13.8" thickBot="1">
      <c r="B41" s="1">
        <v>3</v>
      </c>
      <c r="C41" s="3">
        <v>20.3</v>
      </c>
      <c r="D41" s="3">
        <v>27.55</v>
      </c>
      <c r="E41" s="3">
        <v>52.45</v>
      </c>
    </row>
  </sheetData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E41"/>
  <sheetViews>
    <sheetView workbookViewId="0"/>
  </sheetViews>
  <sheetFormatPr baseColWidth="10" defaultRowHeight="13.2"/>
  <sheetData>
    <row r="1" spans="2:5" ht="13.8" thickBot="1"/>
    <row r="2" spans="2:5">
      <c r="B2" s="4">
        <v>1</v>
      </c>
      <c r="C2" s="5">
        <v>25.033333333333324</v>
      </c>
    </row>
    <row r="3" spans="2:5" ht="13.8" thickBot="1">
      <c r="B3" s="1">
        <v>2</v>
      </c>
      <c r="C3" s="3">
        <v>24.6111111111111</v>
      </c>
    </row>
    <row r="5" spans="2:5" ht="13.8" thickBot="1"/>
    <row r="6" spans="2:5">
      <c r="B6" s="4">
        <v>1</v>
      </c>
      <c r="C6" s="5">
        <v>9.5333333333333243</v>
      </c>
      <c r="D6" s="5">
        <v>24.23333333333332</v>
      </c>
      <c r="E6" s="5">
        <v>41.333333333333321</v>
      </c>
    </row>
    <row r="7" spans="2:5" ht="13.8" thickBot="1">
      <c r="B7" s="1">
        <v>2</v>
      </c>
      <c r="C7" s="3">
        <v>14.266666666666652</v>
      </c>
      <c r="D7" s="3">
        <v>16.633333333333319</v>
      </c>
      <c r="E7" s="3">
        <v>42.93333333333333</v>
      </c>
    </row>
    <row r="9" spans="2:5" ht="13.8" thickBot="1"/>
    <row r="10" spans="2:5">
      <c r="B10" s="4">
        <v>1</v>
      </c>
      <c r="C10" s="5">
        <v>18.23333333333332</v>
      </c>
      <c r="D10" s="5">
        <v>25.733333333333327</v>
      </c>
      <c r="E10" s="5">
        <v>31.133333333333326</v>
      </c>
    </row>
    <row r="11" spans="2:5" ht="13.8" thickBot="1">
      <c r="B11" s="1">
        <v>2</v>
      </c>
      <c r="C11" s="3">
        <v>11.266666666666644</v>
      </c>
      <c r="D11" s="3">
        <v>26.833333333333325</v>
      </c>
      <c r="E11" s="3">
        <v>35.733333333333327</v>
      </c>
    </row>
    <row r="13" spans="2:5" ht="13.8" thickBot="1"/>
    <row r="14" spans="2:5">
      <c r="B14" s="4">
        <v>1</v>
      </c>
      <c r="C14" s="5">
        <v>11.9</v>
      </c>
    </row>
    <row r="15" spans="2:5">
      <c r="B15">
        <v>2</v>
      </c>
      <c r="C15" s="2">
        <v>20.433333333333316</v>
      </c>
    </row>
    <row r="16" spans="2:5" ht="13.8" thickBot="1">
      <c r="B16" s="1">
        <v>3</v>
      </c>
      <c r="C16" s="3">
        <v>42.133333333333326</v>
      </c>
    </row>
    <row r="18" spans="2:5" ht="13.8" thickBot="1"/>
    <row r="19" spans="2:5">
      <c r="B19" s="4">
        <v>1</v>
      </c>
      <c r="C19" s="5">
        <v>9.5333333333333243</v>
      </c>
      <c r="D19" s="5">
        <v>14.266666666666652</v>
      </c>
    </row>
    <row r="20" spans="2:5">
      <c r="B20">
        <v>2</v>
      </c>
      <c r="C20" s="2">
        <v>24.23333333333332</v>
      </c>
      <c r="D20" s="2">
        <v>16.633333333333319</v>
      </c>
    </row>
    <row r="21" spans="2:5" ht="13.8" thickBot="1">
      <c r="B21" s="1">
        <v>3</v>
      </c>
      <c r="C21" s="3">
        <v>41.333333333333321</v>
      </c>
      <c r="D21" s="3">
        <v>42.93333333333333</v>
      </c>
    </row>
    <row r="23" spans="2:5" ht="13.8" thickBot="1"/>
    <row r="24" spans="2:5">
      <c r="B24" s="4">
        <v>1</v>
      </c>
      <c r="C24" s="5">
        <v>4.3499999999999943</v>
      </c>
      <c r="D24" s="5">
        <v>11.05</v>
      </c>
      <c r="E24" s="5">
        <v>20.3</v>
      </c>
    </row>
    <row r="25" spans="2:5">
      <c r="B25">
        <v>2</v>
      </c>
      <c r="C25" s="2">
        <v>11.4</v>
      </c>
      <c r="D25" s="2">
        <v>22.35</v>
      </c>
      <c r="E25" s="2">
        <v>27.55</v>
      </c>
    </row>
    <row r="26" spans="2:5" ht="13.8" thickBot="1">
      <c r="B26" s="1">
        <v>3</v>
      </c>
      <c r="C26" s="3">
        <v>28.5</v>
      </c>
      <c r="D26" s="3">
        <v>45.45</v>
      </c>
      <c r="E26" s="3">
        <v>52.45</v>
      </c>
    </row>
    <row r="28" spans="2:5" ht="13.8" thickBot="1"/>
    <row r="29" spans="2:5">
      <c r="B29" s="4">
        <v>1</v>
      </c>
      <c r="C29" s="5">
        <v>14.75</v>
      </c>
    </row>
    <row r="30" spans="2:5">
      <c r="B30">
        <v>2</v>
      </c>
      <c r="C30" s="2">
        <v>26.283333333333328</v>
      </c>
    </row>
    <row r="31" spans="2:5" ht="13.8" thickBot="1">
      <c r="B31" s="1">
        <v>3</v>
      </c>
      <c r="C31" s="3">
        <v>33.433333333333323</v>
      </c>
    </row>
    <row r="33" spans="2:5" ht="13.8" thickBot="1"/>
    <row r="34" spans="2:5">
      <c r="B34" s="4">
        <v>1</v>
      </c>
      <c r="C34" s="5">
        <v>18.23333333333332</v>
      </c>
      <c r="D34" s="5">
        <v>11.266666666666644</v>
      </c>
    </row>
    <row r="35" spans="2:5">
      <c r="B35">
        <v>2</v>
      </c>
      <c r="C35" s="2">
        <v>25.733333333333327</v>
      </c>
      <c r="D35" s="2">
        <v>26.833333333333325</v>
      </c>
    </row>
    <row r="36" spans="2:5" ht="13.8" thickBot="1">
      <c r="B36" s="1">
        <v>3</v>
      </c>
      <c r="C36" s="3">
        <v>31.133333333333326</v>
      </c>
      <c r="D36" s="3">
        <v>35.733333333333327</v>
      </c>
    </row>
    <row r="38" spans="2:5" ht="13.8" thickBot="1"/>
    <row r="39" spans="2:5">
      <c r="B39" s="4">
        <v>1</v>
      </c>
      <c r="C39" s="5">
        <v>4.3499999999999943</v>
      </c>
      <c r="D39" s="5">
        <v>11.4</v>
      </c>
      <c r="E39" s="5">
        <v>28.5</v>
      </c>
    </row>
    <row r="40" spans="2:5">
      <c r="B40">
        <v>2</v>
      </c>
      <c r="C40" s="2">
        <v>11.05</v>
      </c>
      <c r="D40" s="2">
        <v>22.35</v>
      </c>
      <c r="E40" s="2">
        <v>45.45</v>
      </c>
    </row>
    <row r="41" spans="2:5" ht="13.8" thickBot="1">
      <c r="B41" s="1">
        <v>3</v>
      </c>
      <c r="C41" s="3">
        <v>20.3</v>
      </c>
      <c r="D41" s="3">
        <v>27.55</v>
      </c>
      <c r="E41" s="3">
        <v>52.45</v>
      </c>
    </row>
  </sheetData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V175"/>
  <sheetViews>
    <sheetView workbookViewId="0">
      <selection activeCell="D2" sqref="D2:H4"/>
    </sheetView>
  </sheetViews>
  <sheetFormatPr baseColWidth="10" defaultRowHeight="13.2"/>
  <cols>
    <col min="1" max="1" width="18" style="10" customWidth="1"/>
    <col min="2" max="10" width="13.77734375" style="10" customWidth="1"/>
    <col min="11" max="11" width="8.44140625" style="10" customWidth="1"/>
    <col min="12" max="12" width="7.6640625" style="10" customWidth="1"/>
    <col min="13" max="13" width="6.44140625" style="10" customWidth="1"/>
    <col min="14" max="14" width="7.6640625" style="10" customWidth="1"/>
    <col min="15" max="16" width="7.44140625" style="10" customWidth="1"/>
    <col min="17" max="17" width="6.33203125" style="10" customWidth="1"/>
    <col min="18" max="18" width="7.33203125" style="10" customWidth="1"/>
    <col min="19" max="19" width="1.77734375" style="10" customWidth="1"/>
    <col min="20" max="20" width="7.77734375" style="10" customWidth="1"/>
    <col min="21" max="21" width="7.44140625" style="10" customWidth="1"/>
    <col min="22" max="22" width="8.77734375" style="10" customWidth="1"/>
    <col min="23" max="16384" width="11.5546875" style="10"/>
  </cols>
  <sheetData>
    <row r="2" spans="1:22" ht="16.2">
      <c r="D2" s="266" t="s">
        <v>176</v>
      </c>
      <c r="E2" s="266"/>
      <c r="F2" s="266"/>
      <c r="G2" s="266"/>
      <c r="H2" s="266"/>
    </row>
    <row r="3" spans="1:22" ht="16.2">
      <c r="D3" s="266" t="s">
        <v>158</v>
      </c>
      <c r="E3" s="266"/>
      <c r="F3" s="266"/>
      <c r="G3" s="266"/>
      <c r="H3" s="266"/>
    </row>
    <row r="4" spans="1:22" ht="16.2">
      <c r="D4" s="266" t="s">
        <v>177</v>
      </c>
      <c r="E4" s="266"/>
      <c r="F4" s="266"/>
      <c r="G4" s="266"/>
      <c r="H4" s="266"/>
    </row>
    <row r="5" spans="1:22" ht="13.8" thickBot="1"/>
    <row r="6" spans="1:22" ht="14.4" thickBot="1">
      <c r="A6" s="95" t="s">
        <v>3</v>
      </c>
      <c r="B6" s="39"/>
      <c r="C6" s="39"/>
      <c r="D6" s="39"/>
      <c r="E6" s="50"/>
      <c r="F6" s="11"/>
      <c r="G6" s="11"/>
      <c r="H6" s="11"/>
      <c r="I6" s="11"/>
      <c r="J6" s="11"/>
    </row>
    <row r="7" spans="1:22" ht="13.8">
      <c r="A7" s="40"/>
      <c r="B7" s="41" t="s">
        <v>4</v>
      </c>
      <c r="C7" s="41" t="s">
        <v>5</v>
      </c>
      <c r="D7" s="41" t="s">
        <v>6</v>
      </c>
      <c r="E7" s="51" t="s">
        <v>7</v>
      </c>
      <c r="F7" s="11"/>
      <c r="G7" s="267" t="s">
        <v>8</v>
      </c>
      <c r="H7" s="268"/>
      <c r="I7" s="120"/>
      <c r="J7" s="120"/>
      <c r="K7" s="25"/>
    </row>
    <row r="8" spans="1:22" ht="13.8">
      <c r="A8" s="127" t="s">
        <v>9</v>
      </c>
      <c r="B8" s="48" t="s">
        <v>60</v>
      </c>
      <c r="C8" s="48" t="s">
        <v>86</v>
      </c>
      <c r="D8" s="48" t="s">
        <v>87</v>
      </c>
      <c r="E8" s="153"/>
      <c r="F8" s="11"/>
      <c r="G8" s="269" t="s">
        <v>150</v>
      </c>
      <c r="H8" s="270"/>
      <c r="I8" s="121"/>
      <c r="J8" s="121"/>
      <c r="K8" s="25"/>
    </row>
    <row r="9" spans="1:22" ht="14.4" thickBot="1">
      <c r="A9" s="127" t="s">
        <v>13</v>
      </c>
      <c r="B9" s="48" t="s">
        <v>72</v>
      </c>
      <c r="C9" s="48" t="s">
        <v>83</v>
      </c>
      <c r="D9" s="48" t="s">
        <v>84</v>
      </c>
      <c r="E9" s="100" t="s">
        <v>85</v>
      </c>
      <c r="F9" s="11"/>
      <c r="G9" s="271" t="s">
        <v>18</v>
      </c>
      <c r="H9" s="272"/>
      <c r="I9" s="120"/>
      <c r="J9" s="120"/>
      <c r="K9" s="120"/>
    </row>
    <row r="10" spans="1:22" ht="13.8" thickBot="1">
      <c r="A10" s="154" t="s">
        <v>43</v>
      </c>
      <c r="B10" s="55" t="s">
        <v>61</v>
      </c>
      <c r="C10" s="55" t="s">
        <v>62</v>
      </c>
      <c r="D10" s="55" t="s">
        <v>63</v>
      </c>
      <c r="E10" s="132" t="s">
        <v>64</v>
      </c>
      <c r="F10" s="121"/>
      <c r="G10" s="121"/>
      <c r="H10" s="121"/>
      <c r="I10" s="121"/>
      <c r="J10" s="121"/>
      <c r="K10" s="25"/>
    </row>
    <row r="11" spans="1:22" ht="25.5" customHeight="1">
      <c r="F11" s="185" t="s">
        <v>149</v>
      </c>
      <c r="G11" s="18"/>
      <c r="H11" s="18"/>
      <c r="M11" s="86" t="str">
        <f>C8</f>
        <v>SC</v>
      </c>
      <c r="N11" s="86" t="str">
        <f>D8</f>
        <v>IM</v>
      </c>
      <c r="O11" s="10" t="s">
        <v>59</v>
      </c>
      <c r="P11" s="86" t="str">
        <f>C9</f>
        <v>Souche1</v>
      </c>
      <c r="Q11" s="86" t="str">
        <f>D9</f>
        <v>Souche2</v>
      </c>
      <c r="R11" s="86" t="str">
        <f>E9</f>
        <v>Souche3</v>
      </c>
      <c r="S11" s="10" t="s">
        <v>59</v>
      </c>
      <c r="T11" s="10" t="str">
        <f>C10</f>
        <v>VaccinA</v>
      </c>
      <c r="U11" s="10" t="str">
        <f>D10</f>
        <v>VaccinB</v>
      </c>
      <c r="V11" s="14" t="str">
        <f>E10</f>
        <v>Témoin</v>
      </c>
    </row>
    <row r="12" spans="1:22" ht="13.8">
      <c r="A12" s="43" t="s">
        <v>19</v>
      </c>
      <c r="B12" s="96" t="str">
        <f>B8</f>
        <v>Voie</v>
      </c>
      <c r="C12" s="96" t="str">
        <f>B9</f>
        <v>Souche</v>
      </c>
      <c r="D12" s="96" t="str">
        <f>B10</f>
        <v>Vaccin</v>
      </c>
      <c r="E12" s="43" t="s">
        <v>20</v>
      </c>
      <c r="F12" s="130" t="s">
        <v>21</v>
      </c>
      <c r="G12" s="130" t="s">
        <v>22</v>
      </c>
      <c r="H12" s="130" t="s">
        <v>23</v>
      </c>
      <c r="I12" s="130" t="s">
        <v>24</v>
      </c>
      <c r="J12" s="130" t="s">
        <v>25</v>
      </c>
      <c r="K12" s="25"/>
      <c r="M12" s="10" t="str">
        <f>B8</f>
        <v>Voie</v>
      </c>
      <c r="N12" s="10" t="str">
        <f>B8</f>
        <v>Voie</v>
      </c>
      <c r="P12" s="10" t="str">
        <f>B9</f>
        <v>Souche</v>
      </c>
      <c r="Q12" s="10" t="str">
        <f>B9</f>
        <v>Souche</v>
      </c>
      <c r="R12" s="10" t="str">
        <f>B9</f>
        <v>Souche</v>
      </c>
      <c r="T12" s="10" t="str">
        <f>B10</f>
        <v>Vaccin</v>
      </c>
      <c r="U12" s="10" t="str">
        <f>B10</f>
        <v>Vaccin</v>
      </c>
      <c r="V12" s="14" t="str">
        <f>B10</f>
        <v>Vaccin</v>
      </c>
    </row>
    <row r="13" spans="1:22">
      <c r="A13" s="98">
        <v>1</v>
      </c>
      <c r="B13" s="98" t="str">
        <f>C$8</f>
        <v>SC</v>
      </c>
      <c r="C13" s="98" t="str">
        <f>C$9</f>
        <v>Souche1</v>
      </c>
      <c r="D13" s="98" t="str">
        <f>C$10</f>
        <v>VaccinA</v>
      </c>
      <c r="E13" s="99">
        <f>MEDIAN(F13:J13)</f>
        <v>7.1</v>
      </c>
      <c r="F13" s="101">
        <v>7.1</v>
      </c>
      <c r="G13" s="101"/>
      <c r="H13" s="101"/>
      <c r="I13" s="101"/>
      <c r="J13" s="101"/>
      <c r="K13" s="25"/>
      <c r="L13" s="10" t="s">
        <v>4</v>
      </c>
      <c r="M13" s="15">
        <f>B33+C33</f>
        <v>25.022222222222222</v>
      </c>
      <c r="N13" s="15">
        <f>B34+C34</f>
        <v>25.388888888888889</v>
      </c>
      <c r="P13" s="15">
        <f>B33+D33</f>
        <v>13.049999999999999</v>
      </c>
      <c r="Q13" s="15">
        <f>B34+D34</f>
        <v>20.43333333333333</v>
      </c>
      <c r="R13" s="15">
        <f>B35+D35</f>
        <v>42.133333333333333</v>
      </c>
      <c r="T13" s="15">
        <f>B33+E33</f>
        <v>15.9</v>
      </c>
      <c r="U13" s="15">
        <f>B34+E34</f>
        <v>26.283333333333331</v>
      </c>
      <c r="V13" s="15">
        <f>B35+E35</f>
        <v>33.433333333333337</v>
      </c>
    </row>
    <row r="14" spans="1:22">
      <c r="A14" s="98">
        <v>2</v>
      </c>
      <c r="B14" s="98" t="str">
        <f t="shared" ref="B14:B21" si="0">C$8</f>
        <v>SC</v>
      </c>
      <c r="C14" s="98" t="str">
        <f t="shared" ref="C14:C15" si="1">C$9</f>
        <v>Souche1</v>
      </c>
      <c r="D14" s="98" t="str">
        <f>D$10</f>
        <v>VaccinB</v>
      </c>
      <c r="E14" s="99">
        <f t="shared" ref="E14:E29" si="2">MEDIAN(F14:J14)</f>
        <v>8</v>
      </c>
      <c r="F14" s="101">
        <v>8</v>
      </c>
      <c r="G14" s="101"/>
      <c r="H14" s="101"/>
      <c r="I14" s="101"/>
      <c r="J14" s="101"/>
      <c r="K14" s="25"/>
      <c r="L14" s="10" t="s">
        <v>26</v>
      </c>
      <c r="M14" s="15">
        <f>B33</f>
        <v>25.205555555555556</v>
      </c>
      <c r="N14" s="15">
        <f>B33</f>
        <v>25.205555555555556</v>
      </c>
      <c r="O14" s="15">
        <f>B34</f>
        <v>25.205555555555556</v>
      </c>
      <c r="P14" s="15">
        <f>B33</f>
        <v>25.205555555555556</v>
      </c>
      <c r="Q14" s="15">
        <f>B33</f>
        <v>25.205555555555556</v>
      </c>
      <c r="R14" s="15">
        <f>B33</f>
        <v>25.205555555555556</v>
      </c>
      <c r="S14" s="15">
        <f>B33</f>
        <v>25.205555555555556</v>
      </c>
      <c r="T14" s="15">
        <f>B33</f>
        <v>25.205555555555556</v>
      </c>
      <c r="U14" s="15">
        <f>B33</f>
        <v>25.205555555555556</v>
      </c>
      <c r="V14" s="15">
        <f>B33</f>
        <v>25.205555555555556</v>
      </c>
    </row>
    <row r="15" spans="1:22">
      <c r="A15" s="98">
        <v>3</v>
      </c>
      <c r="B15" s="98" t="str">
        <f t="shared" si="0"/>
        <v>SC</v>
      </c>
      <c r="C15" s="98" t="str">
        <f t="shared" si="1"/>
        <v>Souche1</v>
      </c>
      <c r="D15" s="98" t="str">
        <f>E$10</f>
        <v>Témoin</v>
      </c>
      <c r="E15" s="99">
        <f t="shared" si="2"/>
        <v>13.4</v>
      </c>
      <c r="F15" s="101">
        <v>13.4</v>
      </c>
      <c r="G15" s="101"/>
      <c r="H15" s="101"/>
      <c r="I15" s="101"/>
      <c r="J15" s="101"/>
      <c r="K15" s="25"/>
    </row>
    <row r="16" spans="1:22">
      <c r="A16" s="98">
        <v>4</v>
      </c>
      <c r="B16" s="98" t="str">
        <f t="shared" si="0"/>
        <v>SC</v>
      </c>
      <c r="C16" s="98" t="str">
        <f>D$9</f>
        <v>Souche2</v>
      </c>
      <c r="D16" s="98" t="str">
        <f>C$10</f>
        <v>VaccinA</v>
      </c>
      <c r="E16" s="99">
        <f t="shared" si="2"/>
        <v>17.5</v>
      </c>
      <c r="F16" s="101">
        <v>17.5</v>
      </c>
      <c r="G16" s="101"/>
      <c r="H16" s="101"/>
      <c r="I16" s="101"/>
      <c r="J16" s="101"/>
      <c r="K16" s="25"/>
    </row>
    <row r="17" spans="1:15">
      <c r="A17" s="98">
        <v>5</v>
      </c>
      <c r="B17" s="98" t="str">
        <f t="shared" si="0"/>
        <v>SC</v>
      </c>
      <c r="C17" s="98" t="str">
        <f t="shared" ref="C17:C18" si="3">D$9</f>
        <v>Souche2</v>
      </c>
      <c r="D17" s="98" t="str">
        <f>D$10</f>
        <v>VaccinB</v>
      </c>
      <c r="E17" s="99">
        <f t="shared" si="2"/>
        <v>25.3</v>
      </c>
      <c r="F17" s="101">
        <v>25.3</v>
      </c>
      <c r="G17" s="101"/>
      <c r="H17" s="101"/>
      <c r="I17" s="101"/>
      <c r="J17" s="101"/>
      <c r="K17" s="25"/>
    </row>
    <row r="18" spans="1:15">
      <c r="A18" s="98">
        <v>6</v>
      </c>
      <c r="B18" s="98" t="str">
        <f t="shared" si="0"/>
        <v>SC</v>
      </c>
      <c r="C18" s="98" t="str">
        <f t="shared" si="3"/>
        <v>Souche2</v>
      </c>
      <c r="D18" s="98" t="str">
        <f>E$10</f>
        <v>Témoin</v>
      </c>
      <c r="E18" s="99">
        <f t="shared" si="2"/>
        <v>29.9</v>
      </c>
      <c r="F18" s="101">
        <v>29.9</v>
      </c>
      <c r="G18" s="101"/>
      <c r="H18" s="101"/>
      <c r="I18" s="101"/>
      <c r="J18" s="101"/>
      <c r="K18" s="25"/>
    </row>
    <row r="19" spans="1:15">
      <c r="A19" s="98">
        <v>7</v>
      </c>
      <c r="B19" s="98" t="str">
        <f t="shared" si="0"/>
        <v>SC</v>
      </c>
      <c r="C19" s="98" t="str">
        <f>E$9</f>
        <v>Souche3</v>
      </c>
      <c r="D19" s="98" t="str">
        <f>C$10</f>
        <v>VaccinA</v>
      </c>
      <c r="E19" s="99">
        <f t="shared" si="2"/>
        <v>30</v>
      </c>
      <c r="F19" s="101">
        <v>30</v>
      </c>
      <c r="G19" s="101"/>
      <c r="H19" s="101"/>
      <c r="I19" s="101"/>
      <c r="J19" s="101"/>
      <c r="K19" s="25"/>
    </row>
    <row r="20" spans="1:15">
      <c r="A20" s="98">
        <v>8</v>
      </c>
      <c r="B20" s="98" t="str">
        <f t="shared" si="0"/>
        <v>SC</v>
      </c>
      <c r="C20" s="98" t="str">
        <f t="shared" ref="C20:C21" si="4">E$9</f>
        <v>Souche3</v>
      </c>
      <c r="D20" s="98" t="str">
        <f>D$10</f>
        <v>VaccinB</v>
      </c>
      <c r="E20" s="99">
        <f t="shared" si="2"/>
        <v>43.9</v>
      </c>
      <c r="F20" s="101">
        <v>43.9</v>
      </c>
      <c r="G20" s="101"/>
      <c r="H20" s="101"/>
      <c r="I20" s="101"/>
      <c r="J20" s="101"/>
      <c r="K20" s="25"/>
    </row>
    <row r="21" spans="1:15">
      <c r="A21" s="98">
        <v>9</v>
      </c>
      <c r="B21" s="98" t="str">
        <f t="shared" si="0"/>
        <v>SC</v>
      </c>
      <c r="C21" s="98" t="str">
        <f t="shared" si="4"/>
        <v>Souche3</v>
      </c>
      <c r="D21" s="98" t="str">
        <f>E$10</f>
        <v>Témoin</v>
      </c>
      <c r="E21" s="99">
        <f t="shared" si="2"/>
        <v>50.1</v>
      </c>
      <c r="F21" s="101">
        <v>50.1</v>
      </c>
      <c r="G21" s="101"/>
      <c r="H21" s="101"/>
      <c r="I21" s="101"/>
      <c r="J21" s="101"/>
      <c r="K21" s="25"/>
    </row>
    <row r="22" spans="1:15">
      <c r="A22" s="98">
        <v>10</v>
      </c>
      <c r="B22" s="98" t="str">
        <f>D$8</f>
        <v>IM</v>
      </c>
      <c r="C22" s="98" t="str">
        <f>C$9</f>
        <v>Souche1</v>
      </c>
      <c r="D22" s="98" t="str">
        <f>C$10</f>
        <v>VaccinA</v>
      </c>
      <c r="E22" s="99">
        <f t="shared" si="2"/>
        <v>8.5</v>
      </c>
      <c r="F22" s="101">
        <v>8.5</v>
      </c>
      <c r="G22" s="101"/>
      <c r="H22" s="101"/>
      <c r="I22" s="101"/>
      <c r="J22" s="101"/>
      <c r="K22" s="25"/>
    </row>
    <row r="23" spans="1:15">
      <c r="A23" s="98">
        <v>11</v>
      </c>
      <c r="B23" s="98" t="str">
        <f t="shared" ref="B23:B30" si="5">D$8</f>
        <v>IM</v>
      </c>
      <c r="C23" s="98" t="str">
        <f t="shared" ref="C23:C24" si="6">C$9</f>
        <v>Souche1</v>
      </c>
      <c r="D23" s="98" t="str">
        <f>D$10</f>
        <v>VaccinB</v>
      </c>
      <c r="E23" s="99">
        <f t="shared" si="2"/>
        <v>14.1</v>
      </c>
      <c r="F23" s="101">
        <v>14.1</v>
      </c>
      <c r="G23" s="101"/>
      <c r="H23" s="101"/>
      <c r="I23" s="101"/>
      <c r="J23" s="101"/>
      <c r="K23" s="25"/>
    </row>
    <row r="24" spans="1:15">
      <c r="A24" s="98">
        <v>12</v>
      </c>
      <c r="B24" s="98" t="str">
        <f t="shared" si="5"/>
        <v>IM</v>
      </c>
      <c r="C24" s="98" t="str">
        <f t="shared" si="6"/>
        <v>Souche1</v>
      </c>
      <c r="D24" s="98" t="str">
        <f>E$10</f>
        <v>Témoin</v>
      </c>
      <c r="E24" s="99">
        <f t="shared" si="2"/>
        <v>27.2</v>
      </c>
      <c r="F24" s="101">
        <v>27.2</v>
      </c>
      <c r="G24" s="101"/>
      <c r="H24" s="101"/>
      <c r="I24" s="101"/>
      <c r="J24" s="101"/>
      <c r="K24" s="25"/>
      <c r="N24" s="86"/>
      <c r="O24" s="86"/>
    </row>
    <row r="25" spans="1:15">
      <c r="A25" s="98">
        <v>13</v>
      </c>
      <c r="B25" s="98" t="str">
        <f t="shared" si="5"/>
        <v>IM</v>
      </c>
      <c r="C25" s="98" t="str">
        <f>D$9</f>
        <v>Souche2</v>
      </c>
      <c r="D25" s="98" t="str">
        <f>C$10</f>
        <v>VaccinA</v>
      </c>
      <c r="E25" s="99">
        <f t="shared" si="2"/>
        <v>5.3</v>
      </c>
      <c r="F25" s="101">
        <v>5.3</v>
      </c>
      <c r="G25" s="101"/>
      <c r="H25" s="101"/>
      <c r="I25" s="101"/>
      <c r="J25" s="101"/>
      <c r="K25" s="25"/>
      <c r="N25" s="86"/>
      <c r="O25" s="86"/>
    </row>
    <row r="26" spans="1:15">
      <c r="A26" s="98">
        <v>14</v>
      </c>
      <c r="B26" s="98" t="str">
        <f t="shared" si="5"/>
        <v>IM</v>
      </c>
      <c r="C26" s="98" t="str">
        <f t="shared" ref="C26:C27" si="7">D$9</f>
        <v>Souche2</v>
      </c>
      <c r="D26" s="98" t="str">
        <f>D$10</f>
        <v>VaccinB</v>
      </c>
      <c r="E26" s="99">
        <f t="shared" si="2"/>
        <v>19.399999999999999</v>
      </c>
      <c r="F26" s="101">
        <v>19.399999999999999</v>
      </c>
      <c r="G26" s="101"/>
      <c r="H26" s="101"/>
      <c r="I26" s="101"/>
      <c r="J26" s="101"/>
      <c r="K26" s="25"/>
      <c r="N26" s="86"/>
      <c r="O26" s="86"/>
    </row>
    <row r="27" spans="1:15">
      <c r="A27" s="98">
        <v>15</v>
      </c>
      <c r="B27" s="98" t="str">
        <f t="shared" si="5"/>
        <v>IM</v>
      </c>
      <c r="C27" s="98" t="str">
        <f t="shared" si="7"/>
        <v>Souche2</v>
      </c>
      <c r="D27" s="98" t="str">
        <f>E$10</f>
        <v>Témoin</v>
      </c>
      <c r="E27" s="99">
        <f t="shared" si="2"/>
        <v>25.2</v>
      </c>
      <c r="F27" s="101">
        <v>25.2</v>
      </c>
      <c r="G27" s="101"/>
      <c r="H27" s="101"/>
      <c r="I27" s="101"/>
      <c r="J27" s="101"/>
      <c r="K27" s="25"/>
      <c r="N27" s="86"/>
      <c r="O27" s="86"/>
    </row>
    <row r="28" spans="1:15">
      <c r="A28" s="98">
        <v>16</v>
      </c>
      <c r="B28" s="98" t="str">
        <f t="shared" si="5"/>
        <v>IM</v>
      </c>
      <c r="C28" s="98" t="str">
        <f>E$9</f>
        <v>Souche3</v>
      </c>
      <c r="D28" s="98" t="str">
        <f>C$10</f>
        <v>VaccinA</v>
      </c>
      <c r="E28" s="99">
        <f t="shared" si="2"/>
        <v>27</v>
      </c>
      <c r="F28" s="101">
        <v>27</v>
      </c>
      <c r="G28" s="101"/>
      <c r="H28" s="101"/>
      <c r="I28" s="101"/>
      <c r="J28" s="101"/>
      <c r="K28" s="25"/>
      <c r="N28" s="86"/>
      <c r="O28" s="86"/>
    </row>
    <row r="29" spans="1:15">
      <c r="A29" s="98">
        <v>17</v>
      </c>
      <c r="B29" s="98" t="str">
        <f t="shared" si="5"/>
        <v>IM</v>
      </c>
      <c r="C29" s="98" t="str">
        <f t="shared" ref="C29:C30" si="8">E$9</f>
        <v>Souche3</v>
      </c>
      <c r="D29" s="98" t="str">
        <f>D$10</f>
        <v>VaccinB</v>
      </c>
      <c r="E29" s="99">
        <f t="shared" si="2"/>
        <v>47</v>
      </c>
      <c r="F29" s="101">
        <v>47</v>
      </c>
      <c r="G29" s="101"/>
      <c r="H29" s="101"/>
      <c r="I29" s="101"/>
      <c r="J29" s="101"/>
      <c r="K29" s="25"/>
      <c r="N29" s="14" t="str">
        <f>B8</f>
        <v>Voie</v>
      </c>
      <c r="O29" s="14" t="str">
        <f>B8</f>
        <v>Voie</v>
      </c>
    </row>
    <row r="30" spans="1:15">
      <c r="A30" s="98">
        <v>18</v>
      </c>
      <c r="B30" s="98" t="str">
        <f t="shared" si="5"/>
        <v>IM</v>
      </c>
      <c r="C30" s="98" t="str">
        <f t="shared" si="8"/>
        <v>Souche3</v>
      </c>
      <c r="D30" s="98" t="str">
        <f>E$10</f>
        <v>Témoin</v>
      </c>
      <c r="E30" s="99">
        <f>MEDIAN(F30:J30)</f>
        <v>54.8</v>
      </c>
      <c r="F30" s="101">
        <v>54.8</v>
      </c>
      <c r="G30" s="101"/>
      <c r="H30" s="101"/>
      <c r="I30" s="101"/>
      <c r="J30" s="101"/>
      <c r="K30" s="25"/>
      <c r="N30" s="14" t="str">
        <f>C8</f>
        <v>SC</v>
      </c>
      <c r="O30" s="14" t="str">
        <f>D8</f>
        <v>IM</v>
      </c>
    </row>
    <row r="31" spans="1:15">
      <c r="B31" s="25"/>
      <c r="C31" s="25"/>
      <c r="D31" s="25"/>
      <c r="E31" s="25"/>
      <c r="F31" s="25"/>
      <c r="H31" s="25"/>
      <c r="I31" s="25"/>
      <c r="J31" s="25"/>
      <c r="K31" s="25"/>
      <c r="L31" s="86" t="str">
        <f>C9</f>
        <v>Souche1</v>
      </c>
      <c r="M31" s="10" t="str">
        <f>B9</f>
        <v>Souche</v>
      </c>
      <c r="N31" s="22">
        <f>(E13+E14+E15)/3</f>
        <v>9.5</v>
      </c>
      <c r="O31" s="22">
        <f>(E22+E23+E24)/3</f>
        <v>16.599999999999998</v>
      </c>
    </row>
    <row r="32" spans="1:15" ht="13.8">
      <c r="A32" s="62" t="s">
        <v>27</v>
      </c>
      <c r="B32" s="63" t="s">
        <v>28</v>
      </c>
      <c r="C32" s="63" t="s">
        <v>29</v>
      </c>
      <c r="D32" s="63" t="s">
        <v>30</v>
      </c>
      <c r="E32" s="63" t="s">
        <v>47</v>
      </c>
      <c r="F32" s="26"/>
      <c r="G32" s="242" t="s">
        <v>205</v>
      </c>
      <c r="H32" s="243"/>
      <c r="I32" s="244"/>
      <c r="J32" s="26"/>
      <c r="K32" s="25"/>
      <c r="L32" s="86" t="str">
        <f>D9</f>
        <v>Souche2</v>
      </c>
      <c r="M32" s="10" t="str">
        <f>B9</f>
        <v>Souche</v>
      </c>
      <c r="N32" s="22">
        <f>(E16+E17+E18)/3</f>
        <v>24.233333333333331</v>
      </c>
      <c r="O32" s="22">
        <f>(E25+E26+E27)/3</f>
        <v>16.633333333333333</v>
      </c>
    </row>
    <row r="33" spans="1:16" ht="13.8">
      <c r="A33" s="62" t="s">
        <v>31</v>
      </c>
      <c r="B33" s="64">
        <f>AVERAGE($E$13:$E$30)</f>
        <v>25.205555555555556</v>
      </c>
      <c r="C33" s="64">
        <f>SUM(_SA1)/9-B33</f>
        <v>-0.18333333333333357</v>
      </c>
      <c r="D33" s="64">
        <f>SUM(_SB1)/6-B33</f>
        <v>-12.155555555555557</v>
      </c>
      <c r="E33" s="64">
        <f>SUM(_SC1)/6-B33</f>
        <v>-9.3055555555555554</v>
      </c>
      <c r="F33" s="27"/>
      <c r="G33" s="245" t="s">
        <v>206</v>
      </c>
      <c r="H33" s="246"/>
      <c r="I33" s="247"/>
      <c r="J33" s="27"/>
      <c r="K33" s="25"/>
      <c r="L33" s="86" t="str">
        <f>E9</f>
        <v>Souche3</v>
      </c>
      <c r="M33" s="10" t="str">
        <f>B9</f>
        <v>Souche</v>
      </c>
      <c r="N33" s="22">
        <f>(E19+E20+E21)/3</f>
        <v>41.333333333333336</v>
      </c>
      <c r="O33" s="22">
        <f>(E28+E29+E30)/3</f>
        <v>42.933333333333337</v>
      </c>
    </row>
    <row r="34" spans="1:16" ht="13.8">
      <c r="A34" s="62" t="s">
        <v>32</v>
      </c>
      <c r="B34" s="64">
        <f>AVERAGE($E$13:$E$30)</f>
        <v>25.205555555555556</v>
      </c>
      <c r="C34" s="64">
        <f>SUM(_SA2)/9-B34</f>
        <v>0.18333333333333357</v>
      </c>
      <c r="D34" s="64">
        <f>SUM(_SB2)/6-B34</f>
        <v>-4.7722222222222257</v>
      </c>
      <c r="E34" s="64">
        <f>SUM(_SC2)/6-B34</f>
        <v>1.0777777777777757</v>
      </c>
      <c r="F34" s="27"/>
      <c r="G34" s="27"/>
      <c r="H34" s="27"/>
      <c r="I34" s="27"/>
      <c r="J34" s="27"/>
      <c r="K34" s="25"/>
      <c r="L34" s="10" t="s">
        <v>59</v>
      </c>
      <c r="N34" s="22"/>
      <c r="O34" s="22"/>
    </row>
    <row r="35" spans="1:16" ht="13.8">
      <c r="A35" s="62" t="s">
        <v>33</v>
      </c>
      <c r="B35" s="64">
        <f>AVERAGE($E$13:$E$30)</f>
        <v>25.205555555555556</v>
      </c>
      <c r="C35" s="64"/>
      <c r="D35" s="64">
        <f>SUM(_SB3)/6-B35</f>
        <v>16.927777777777777</v>
      </c>
      <c r="E35" s="64">
        <f>SUM(_SC3)/6-B35</f>
        <v>8.2277777777777814</v>
      </c>
      <c r="F35" s="27"/>
      <c r="G35" s="27"/>
      <c r="H35" s="27"/>
      <c r="I35" s="27"/>
      <c r="J35" s="27"/>
      <c r="K35" s="25"/>
      <c r="L35" s="10" t="str">
        <f>C10</f>
        <v>VaccinA</v>
      </c>
      <c r="M35" s="10" t="str">
        <f>B10</f>
        <v>Vaccin</v>
      </c>
      <c r="N35" s="22">
        <f>(E13+E16+E19)/3</f>
        <v>18.2</v>
      </c>
      <c r="O35" s="22">
        <f>(E22+E25+E28)/3</f>
        <v>13.6</v>
      </c>
    </row>
    <row r="36" spans="1:16">
      <c r="B36" s="25"/>
      <c r="C36" s="25"/>
      <c r="D36" s="28"/>
      <c r="E36" s="28"/>
      <c r="F36" s="28"/>
      <c r="G36" s="28"/>
      <c r="H36" s="28"/>
      <c r="I36" s="28"/>
      <c r="J36" s="28"/>
      <c r="K36" s="25"/>
      <c r="L36" s="10" t="str">
        <f>D10</f>
        <v>VaccinB</v>
      </c>
      <c r="M36" s="10" t="str">
        <f>B10</f>
        <v>Vaccin</v>
      </c>
      <c r="N36" s="22">
        <f>(E14+E17+E20)/3</f>
        <v>25.733333333333331</v>
      </c>
      <c r="O36" s="22">
        <f>(E23+E26+E29)/3</f>
        <v>26.833333333333332</v>
      </c>
    </row>
    <row r="37" spans="1:16">
      <c r="B37" s="25"/>
      <c r="C37" s="25"/>
      <c r="D37" s="25"/>
      <c r="E37" s="28"/>
      <c r="F37" s="28"/>
      <c r="G37" s="28"/>
      <c r="H37" s="28"/>
      <c r="I37" s="28"/>
      <c r="J37" s="28"/>
      <c r="K37" s="25"/>
      <c r="L37" s="14" t="str">
        <f>E10</f>
        <v>Témoin</v>
      </c>
      <c r="M37" s="14" t="str">
        <f>B10</f>
        <v>Vaccin</v>
      </c>
      <c r="N37" s="10">
        <f>(E15+E18+E21)/3</f>
        <v>31.133333333333336</v>
      </c>
      <c r="O37" s="10">
        <f>(E24+E27+E30)/3</f>
        <v>35.733333333333327</v>
      </c>
    </row>
    <row r="38" spans="1:16">
      <c r="A38" s="161" t="s">
        <v>172</v>
      </c>
      <c r="B38" s="65"/>
      <c r="C38" s="65"/>
      <c r="D38" s="66"/>
      <c r="E38" s="66"/>
      <c r="F38" s="66"/>
      <c r="G38" s="66"/>
      <c r="H38" s="66"/>
      <c r="I38" s="66"/>
      <c r="J38" s="28"/>
      <c r="K38" s="25"/>
    </row>
    <row r="39" spans="1:16">
      <c r="A39" s="158"/>
      <c r="B39" s="234" t="s">
        <v>250</v>
      </c>
      <c r="C39" s="234" t="s">
        <v>187</v>
      </c>
      <c r="D39" s="119" t="s">
        <v>188</v>
      </c>
      <c r="E39" s="119" t="s">
        <v>211</v>
      </c>
      <c r="F39" s="235" t="s">
        <v>189</v>
      </c>
      <c r="G39" s="119" t="s">
        <v>190</v>
      </c>
      <c r="H39" s="66"/>
      <c r="I39" s="66"/>
      <c r="J39" s="25"/>
      <c r="K39" s="25"/>
    </row>
    <row r="40" spans="1:16">
      <c r="A40" s="158"/>
      <c r="B40" s="75" t="s">
        <v>21</v>
      </c>
      <c r="C40" s="75" t="s">
        <v>160</v>
      </c>
      <c r="D40" s="75" t="s">
        <v>163</v>
      </c>
      <c r="E40" s="65" t="s">
        <v>166</v>
      </c>
      <c r="F40" s="252">
        <f t="shared" ref="F40:F57" si="9">IF(F13="","",F13)</f>
        <v>7.1</v>
      </c>
      <c r="G40" s="248" t="str">
        <f>IF(F40="","",CONCATENATE(C40,"_",D40,"_",E40))</f>
        <v>A1_B1_C1</v>
      </c>
      <c r="H40" s="66"/>
      <c r="I40" s="66"/>
      <c r="J40" s="25"/>
      <c r="K40" s="25"/>
    </row>
    <row r="41" spans="1:16">
      <c r="A41" s="158"/>
      <c r="B41" s="76" t="s">
        <v>21</v>
      </c>
      <c r="C41" s="76" t="s">
        <v>160</v>
      </c>
      <c r="D41" s="76" t="s">
        <v>163</v>
      </c>
      <c r="E41" s="65" t="s">
        <v>167</v>
      </c>
      <c r="F41" s="253">
        <f t="shared" si="9"/>
        <v>8</v>
      </c>
      <c r="G41" s="249" t="str">
        <f t="shared" ref="G41:G104" si="10">IF(F41="","",CONCATENATE(C41,"_",D41,"_",E41))</f>
        <v>A1_B1_C2</v>
      </c>
      <c r="H41" s="66"/>
      <c r="I41" s="66"/>
      <c r="J41" s="25"/>
      <c r="K41" s="25"/>
    </row>
    <row r="42" spans="1:16">
      <c r="A42" s="158"/>
      <c r="B42" s="76" t="s">
        <v>21</v>
      </c>
      <c r="C42" s="76" t="s">
        <v>160</v>
      </c>
      <c r="D42" s="76" t="s">
        <v>163</v>
      </c>
      <c r="E42" s="65" t="s">
        <v>175</v>
      </c>
      <c r="F42" s="253">
        <f t="shared" si="9"/>
        <v>13.4</v>
      </c>
      <c r="G42" s="249" t="str">
        <f t="shared" si="10"/>
        <v>A1_B1_C3</v>
      </c>
      <c r="H42" s="66"/>
      <c r="I42" s="66"/>
      <c r="J42" s="25"/>
      <c r="K42" s="25"/>
      <c r="N42" s="14" t="str">
        <f>B9</f>
        <v>Souche</v>
      </c>
      <c r="O42" s="14" t="str">
        <f>B9</f>
        <v>Souche</v>
      </c>
      <c r="P42" s="14" t="str">
        <f>B9</f>
        <v>Souche</v>
      </c>
    </row>
    <row r="43" spans="1:16">
      <c r="A43" s="158"/>
      <c r="B43" s="76" t="s">
        <v>21</v>
      </c>
      <c r="C43" s="76" t="s">
        <v>160</v>
      </c>
      <c r="D43" s="76" t="s">
        <v>164</v>
      </c>
      <c r="E43" s="65" t="s">
        <v>166</v>
      </c>
      <c r="F43" s="253">
        <f t="shared" si="9"/>
        <v>17.5</v>
      </c>
      <c r="G43" s="249" t="str">
        <f t="shared" si="10"/>
        <v>A1_B2_C1</v>
      </c>
      <c r="H43" s="66"/>
      <c r="I43" s="66"/>
      <c r="J43" s="25"/>
      <c r="K43" s="25"/>
      <c r="N43" s="14" t="str">
        <f>C9</f>
        <v>Souche1</v>
      </c>
      <c r="O43" s="14" t="str">
        <f>D9</f>
        <v>Souche2</v>
      </c>
      <c r="P43" s="14" t="str">
        <f>E9</f>
        <v>Souche3</v>
      </c>
    </row>
    <row r="44" spans="1:16">
      <c r="A44" s="158"/>
      <c r="B44" s="76" t="s">
        <v>21</v>
      </c>
      <c r="C44" s="76" t="s">
        <v>160</v>
      </c>
      <c r="D44" s="76" t="s">
        <v>164</v>
      </c>
      <c r="E44" s="65" t="s">
        <v>167</v>
      </c>
      <c r="F44" s="253">
        <f t="shared" si="9"/>
        <v>25.3</v>
      </c>
      <c r="G44" s="249" t="str">
        <f t="shared" si="10"/>
        <v>A1_B2_C2</v>
      </c>
      <c r="H44" s="66"/>
      <c r="I44" s="66"/>
      <c r="J44" s="25"/>
      <c r="K44" s="25"/>
      <c r="L44" s="14" t="str">
        <f>C10</f>
        <v>VaccinA</v>
      </c>
      <c r="M44" s="14" t="str">
        <f>B10</f>
        <v>Vaccin</v>
      </c>
      <c r="N44" s="10">
        <f>(E13+E22)/2</f>
        <v>7.8</v>
      </c>
      <c r="O44" s="10">
        <f>(E16+E25)/2</f>
        <v>11.4</v>
      </c>
      <c r="P44" s="10">
        <f>(E19+E28)/2</f>
        <v>28.5</v>
      </c>
    </row>
    <row r="45" spans="1:16">
      <c r="A45" s="65"/>
      <c r="B45" s="76" t="s">
        <v>21</v>
      </c>
      <c r="C45" s="76" t="s">
        <v>160</v>
      </c>
      <c r="D45" s="76" t="s">
        <v>164</v>
      </c>
      <c r="E45" s="65" t="s">
        <v>175</v>
      </c>
      <c r="F45" s="253">
        <f t="shared" si="9"/>
        <v>29.9</v>
      </c>
      <c r="G45" s="249" t="str">
        <f t="shared" si="10"/>
        <v>A1_B2_C3</v>
      </c>
      <c r="H45" s="66"/>
      <c r="I45" s="66"/>
      <c r="J45" s="25"/>
      <c r="K45" s="25"/>
      <c r="L45" s="14" t="str">
        <f>D10</f>
        <v>VaccinB</v>
      </c>
      <c r="M45" s="14" t="str">
        <f>B10</f>
        <v>Vaccin</v>
      </c>
      <c r="N45" s="10">
        <f>(E14+E23)/2</f>
        <v>11.05</v>
      </c>
      <c r="O45" s="10">
        <f>(E17+E26)/2</f>
        <v>22.35</v>
      </c>
      <c r="P45" s="10">
        <f>(E20+E29)/2</f>
        <v>45.45</v>
      </c>
    </row>
    <row r="46" spans="1:16">
      <c r="A46" s="65"/>
      <c r="B46" s="77" t="s">
        <v>21</v>
      </c>
      <c r="C46" s="77" t="s">
        <v>160</v>
      </c>
      <c r="D46" s="76" t="s">
        <v>165</v>
      </c>
      <c r="E46" s="65" t="s">
        <v>166</v>
      </c>
      <c r="F46" s="253">
        <f t="shared" si="9"/>
        <v>30</v>
      </c>
      <c r="G46" s="249" t="str">
        <f t="shared" si="10"/>
        <v>A1_B3_C1</v>
      </c>
      <c r="H46" s="66"/>
      <c r="I46" s="66"/>
      <c r="J46" s="25"/>
      <c r="K46" s="25"/>
      <c r="L46" s="14" t="str">
        <f>E10</f>
        <v>Témoin</v>
      </c>
      <c r="M46" s="14" t="str">
        <f>B10</f>
        <v>Vaccin</v>
      </c>
      <c r="N46" s="10">
        <f>(E15+E24)/2</f>
        <v>20.3</v>
      </c>
      <c r="O46" s="10">
        <f>(E18+E27)/2</f>
        <v>27.549999999999997</v>
      </c>
      <c r="P46" s="10">
        <f>(E21+E30)/2</f>
        <v>52.45</v>
      </c>
    </row>
    <row r="47" spans="1:16">
      <c r="A47" s="65"/>
      <c r="B47" s="77" t="s">
        <v>21</v>
      </c>
      <c r="C47" s="77" t="s">
        <v>160</v>
      </c>
      <c r="D47" s="76" t="s">
        <v>165</v>
      </c>
      <c r="E47" s="65" t="s">
        <v>167</v>
      </c>
      <c r="F47" s="253">
        <f t="shared" si="9"/>
        <v>43.9</v>
      </c>
      <c r="G47" s="249" t="str">
        <f t="shared" si="10"/>
        <v>A1_B3_C2</v>
      </c>
      <c r="H47" s="66"/>
      <c r="I47" s="66"/>
      <c r="J47" s="25"/>
      <c r="K47" s="25"/>
      <c r="L47" s="14"/>
      <c r="M47" s="14"/>
    </row>
    <row r="48" spans="1:16">
      <c r="A48" s="65"/>
      <c r="B48" s="77" t="s">
        <v>21</v>
      </c>
      <c r="C48" s="77" t="s">
        <v>160</v>
      </c>
      <c r="D48" s="76" t="s">
        <v>165</v>
      </c>
      <c r="E48" s="65" t="s">
        <v>175</v>
      </c>
      <c r="F48" s="253">
        <f t="shared" si="9"/>
        <v>50.1</v>
      </c>
      <c r="G48" s="249" t="str">
        <f t="shared" si="10"/>
        <v>A1_B3_C3</v>
      </c>
      <c r="H48" s="66"/>
      <c r="I48" s="65"/>
      <c r="J48" s="25"/>
      <c r="K48" s="25"/>
      <c r="L48" s="14"/>
      <c r="M48" s="14"/>
    </row>
    <row r="49" spans="1:11">
      <c r="A49" s="65"/>
      <c r="B49" s="77" t="s">
        <v>21</v>
      </c>
      <c r="C49" s="77" t="s">
        <v>161</v>
      </c>
      <c r="D49" s="77" t="s">
        <v>163</v>
      </c>
      <c r="E49" s="65" t="s">
        <v>166</v>
      </c>
      <c r="F49" s="253">
        <f t="shared" si="9"/>
        <v>8.5</v>
      </c>
      <c r="G49" s="249" t="str">
        <f t="shared" si="10"/>
        <v>A2_B1_C1</v>
      </c>
      <c r="H49" s="65"/>
      <c r="I49" s="65"/>
      <c r="J49" s="25"/>
      <c r="K49" s="25"/>
    </row>
    <row r="50" spans="1:11">
      <c r="A50" s="158"/>
      <c r="B50" s="77" t="s">
        <v>21</v>
      </c>
      <c r="C50" s="77" t="s">
        <v>161</v>
      </c>
      <c r="D50" s="77" t="s">
        <v>163</v>
      </c>
      <c r="E50" s="65" t="s">
        <v>167</v>
      </c>
      <c r="F50" s="253">
        <f t="shared" si="9"/>
        <v>14.1</v>
      </c>
      <c r="G50" s="249" t="str">
        <f t="shared" si="10"/>
        <v>A2_B1_C2</v>
      </c>
      <c r="H50" s="65"/>
      <c r="I50" s="65"/>
      <c r="J50" s="25"/>
      <c r="K50" s="25"/>
    </row>
    <row r="51" spans="1:11">
      <c r="A51" s="155"/>
      <c r="B51" s="78" t="s">
        <v>21</v>
      </c>
      <c r="C51" s="78" t="s">
        <v>161</v>
      </c>
      <c r="D51" s="78" t="s">
        <v>163</v>
      </c>
      <c r="E51" s="71" t="s">
        <v>175</v>
      </c>
      <c r="F51" s="253">
        <f t="shared" si="9"/>
        <v>27.2</v>
      </c>
      <c r="G51" s="249" t="str">
        <f t="shared" si="10"/>
        <v>A2_B1_C3</v>
      </c>
      <c r="H51" s="155"/>
      <c r="I51" s="65"/>
      <c r="J51" s="25"/>
      <c r="K51" s="25"/>
    </row>
    <row r="52" spans="1:11" ht="15.75" customHeight="1">
      <c r="A52" s="159"/>
      <c r="B52" s="79" t="s">
        <v>21</v>
      </c>
      <c r="C52" s="79" t="s">
        <v>161</v>
      </c>
      <c r="D52" s="82" t="s">
        <v>164</v>
      </c>
      <c r="E52" s="68" t="s">
        <v>166</v>
      </c>
      <c r="F52" s="253">
        <f t="shared" si="9"/>
        <v>5.3</v>
      </c>
      <c r="G52" s="249" t="str">
        <f t="shared" si="10"/>
        <v>A2_B2_C1</v>
      </c>
      <c r="H52" s="156"/>
      <c r="I52" s="65"/>
      <c r="J52" s="25"/>
      <c r="K52" s="25"/>
    </row>
    <row r="53" spans="1:11" ht="15" customHeight="1">
      <c r="A53" s="159"/>
      <c r="B53" s="79" t="s">
        <v>21</v>
      </c>
      <c r="C53" s="79" t="s">
        <v>161</v>
      </c>
      <c r="D53" s="82" t="s">
        <v>164</v>
      </c>
      <c r="E53" s="68" t="s">
        <v>167</v>
      </c>
      <c r="F53" s="253">
        <f t="shared" si="9"/>
        <v>19.399999999999999</v>
      </c>
      <c r="G53" s="249" t="str">
        <f t="shared" si="10"/>
        <v>A2_B2_C2</v>
      </c>
      <c r="H53" s="156"/>
      <c r="I53" s="65"/>
      <c r="J53" s="25"/>
      <c r="K53" s="25"/>
    </row>
    <row r="54" spans="1:11" ht="15" customHeight="1">
      <c r="A54" s="159"/>
      <c r="B54" s="79" t="s">
        <v>21</v>
      </c>
      <c r="C54" s="79" t="s">
        <v>161</v>
      </c>
      <c r="D54" s="82" t="s">
        <v>164</v>
      </c>
      <c r="E54" s="68" t="s">
        <v>175</v>
      </c>
      <c r="F54" s="253">
        <f t="shared" si="9"/>
        <v>25.2</v>
      </c>
      <c r="G54" s="249" t="str">
        <f t="shared" si="10"/>
        <v>A2_B2_C3</v>
      </c>
      <c r="H54" s="156"/>
      <c r="I54" s="65"/>
      <c r="J54" s="25"/>
      <c r="K54" s="25"/>
    </row>
    <row r="55" spans="1:11" ht="15" customHeight="1">
      <c r="A55" s="160"/>
      <c r="B55" s="79" t="s">
        <v>21</v>
      </c>
      <c r="C55" s="79" t="s">
        <v>161</v>
      </c>
      <c r="D55" s="82" t="s">
        <v>165</v>
      </c>
      <c r="E55" s="68" t="s">
        <v>166</v>
      </c>
      <c r="F55" s="253">
        <f t="shared" si="9"/>
        <v>27</v>
      </c>
      <c r="G55" s="249" t="str">
        <f t="shared" si="10"/>
        <v>A2_B3_C1</v>
      </c>
      <c r="H55" s="157"/>
      <c r="I55" s="65"/>
      <c r="J55" s="25"/>
      <c r="K55" s="25"/>
    </row>
    <row r="56" spans="1:11" ht="15" customHeight="1">
      <c r="A56" s="160"/>
      <c r="B56" s="79" t="s">
        <v>21</v>
      </c>
      <c r="C56" s="79" t="s">
        <v>161</v>
      </c>
      <c r="D56" s="82" t="s">
        <v>165</v>
      </c>
      <c r="E56" s="68" t="s">
        <v>167</v>
      </c>
      <c r="F56" s="253">
        <f t="shared" si="9"/>
        <v>47</v>
      </c>
      <c r="G56" s="249" t="str">
        <f t="shared" si="10"/>
        <v>A2_B3_C2</v>
      </c>
      <c r="H56" s="157"/>
      <c r="I56" s="65"/>
      <c r="J56" s="25"/>
      <c r="K56" s="25"/>
    </row>
    <row r="57" spans="1:11" ht="15" customHeight="1">
      <c r="A57" s="160"/>
      <c r="B57" s="115" t="s">
        <v>21</v>
      </c>
      <c r="C57" s="115" t="s">
        <v>161</v>
      </c>
      <c r="D57" s="162" t="s">
        <v>165</v>
      </c>
      <c r="E57" s="111" t="s">
        <v>175</v>
      </c>
      <c r="F57" s="254">
        <f t="shared" si="9"/>
        <v>54.8</v>
      </c>
      <c r="G57" s="250" t="str">
        <f t="shared" si="10"/>
        <v>A2_B3_C3</v>
      </c>
      <c r="H57" s="157"/>
      <c r="I57" s="65"/>
      <c r="J57" s="25"/>
      <c r="K57" s="25"/>
    </row>
    <row r="58" spans="1:11" ht="15" customHeight="1">
      <c r="A58" s="158"/>
      <c r="B58" s="75" t="s">
        <v>22</v>
      </c>
      <c r="C58" s="76" t="s">
        <v>160</v>
      </c>
      <c r="D58" s="76" t="s">
        <v>163</v>
      </c>
      <c r="E58" s="65" t="s">
        <v>166</v>
      </c>
      <c r="F58" s="76" t="str">
        <f t="shared" ref="F58:F75" si="11">IF(G13="","",G13)</f>
        <v/>
      </c>
      <c r="G58" s="248" t="str">
        <f t="shared" si="10"/>
        <v/>
      </c>
      <c r="H58" s="65"/>
      <c r="I58" s="65"/>
      <c r="J58" s="25"/>
      <c r="K58" s="25"/>
    </row>
    <row r="59" spans="1:11" ht="15" customHeight="1">
      <c r="A59" s="158"/>
      <c r="B59" s="76" t="s">
        <v>22</v>
      </c>
      <c r="C59" s="76" t="s">
        <v>160</v>
      </c>
      <c r="D59" s="76" t="s">
        <v>163</v>
      </c>
      <c r="E59" s="65" t="s">
        <v>167</v>
      </c>
      <c r="F59" s="76" t="str">
        <f t="shared" si="11"/>
        <v/>
      </c>
      <c r="G59" s="249" t="str">
        <f t="shared" si="10"/>
        <v/>
      </c>
      <c r="H59" s="65"/>
      <c r="I59" s="65"/>
      <c r="J59" s="25"/>
      <c r="K59" s="25"/>
    </row>
    <row r="60" spans="1:11">
      <c r="A60" s="65"/>
      <c r="B60" s="76" t="s">
        <v>22</v>
      </c>
      <c r="C60" s="76" t="s">
        <v>160</v>
      </c>
      <c r="D60" s="76" t="s">
        <v>163</v>
      </c>
      <c r="E60" s="65" t="s">
        <v>175</v>
      </c>
      <c r="F60" s="76" t="str">
        <f t="shared" si="11"/>
        <v/>
      </c>
      <c r="G60" s="249" t="str">
        <f t="shared" si="10"/>
        <v/>
      </c>
      <c r="H60" s="65"/>
      <c r="I60" s="65"/>
      <c r="J60" s="25"/>
      <c r="K60" s="25"/>
    </row>
    <row r="61" spans="1:11">
      <c r="A61" s="25"/>
      <c r="B61" s="76" t="s">
        <v>22</v>
      </c>
      <c r="C61" s="76" t="s">
        <v>160</v>
      </c>
      <c r="D61" s="76" t="s">
        <v>164</v>
      </c>
      <c r="E61" s="65" t="s">
        <v>166</v>
      </c>
      <c r="F61" s="76" t="str">
        <f t="shared" si="11"/>
        <v/>
      </c>
      <c r="G61" s="249" t="str">
        <f t="shared" si="10"/>
        <v/>
      </c>
      <c r="H61" s="25"/>
      <c r="I61" s="25"/>
      <c r="J61" s="25"/>
      <c r="K61" s="25"/>
    </row>
    <row r="62" spans="1:11">
      <c r="A62" s="25"/>
      <c r="B62" s="76" t="s">
        <v>22</v>
      </c>
      <c r="C62" s="76" t="s">
        <v>160</v>
      </c>
      <c r="D62" s="76" t="s">
        <v>164</v>
      </c>
      <c r="E62" s="65" t="s">
        <v>167</v>
      </c>
      <c r="F62" s="76" t="str">
        <f t="shared" si="11"/>
        <v/>
      </c>
      <c r="G62" s="249" t="str">
        <f t="shared" si="10"/>
        <v/>
      </c>
      <c r="H62" s="25"/>
      <c r="I62" s="25"/>
      <c r="J62" s="25"/>
      <c r="K62" s="25"/>
    </row>
    <row r="63" spans="1:11">
      <c r="A63" s="123"/>
      <c r="B63" s="76" t="s">
        <v>22</v>
      </c>
      <c r="C63" s="76" t="s">
        <v>160</v>
      </c>
      <c r="D63" s="76" t="s">
        <v>164</v>
      </c>
      <c r="E63" s="65" t="s">
        <v>175</v>
      </c>
      <c r="F63" s="76" t="str">
        <f t="shared" si="11"/>
        <v/>
      </c>
      <c r="G63" s="249" t="str">
        <f t="shared" si="10"/>
        <v/>
      </c>
      <c r="H63" s="25"/>
      <c r="I63" s="25"/>
    </row>
    <row r="64" spans="1:11">
      <c r="A64" s="123"/>
      <c r="B64" s="77" t="s">
        <v>22</v>
      </c>
      <c r="C64" s="77" t="s">
        <v>160</v>
      </c>
      <c r="D64" s="76" t="s">
        <v>165</v>
      </c>
      <c r="E64" s="65" t="s">
        <v>166</v>
      </c>
      <c r="F64" s="76" t="str">
        <f t="shared" si="11"/>
        <v/>
      </c>
      <c r="G64" s="249" t="str">
        <f t="shared" si="10"/>
        <v/>
      </c>
      <c r="H64" s="25"/>
      <c r="I64" s="25"/>
    </row>
    <row r="65" spans="1:9">
      <c r="A65" s="123"/>
      <c r="B65" s="77" t="s">
        <v>22</v>
      </c>
      <c r="C65" s="77" t="s">
        <v>160</v>
      </c>
      <c r="D65" s="76" t="s">
        <v>165</v>
      </c>
      <c r="E65" s="65" t="s">
        <v>167</v>
      </c>
      <c r="F65" s="76" t="str">
        <f t="shared" si="11"/>
        <v/>
      </c>
      <c r="G65" s="249" t="str">
        <f t="shared" si="10"/>
        <v/>
      </c>
      <c r="H65" s="25"/>
      <c r="I65" s="25"/>
    </row>
    <row r="66" spans="1:9">
      <c r="A66" s="123"/>
      <c r="B66" s="77" t="s">
        <v>22</v>
      </c>
      <c r="C66" s="77" t="s">
        <v>160</v>
      </c>
      <c r="D66" s="76" t="s">
        <v>165</v>
      </c>
      <c r="E66" s="65" t="s">
        <v>175</v>
      </c>
      <c r="F66" s="76" t="str">
        <f t="shared" si="11"/>
        <v/>
      </c>
      <c r="G66" s="249" t="str">
        <f t="shared" si="10"/>
        <v/>
      </c>
      <c r="H66" s="25"/>
      <c r="I66" s="25"/>
    </row>
    <row r="67" spans="1:9">
      <c r="A67" s="123"/>
      <c r="B67" s="77" t="s">
        <v>22</v>
      </c>
      <c r="C67" s="77" t="s">
        <v>161</v>
      </c>
      <c r="D67" s="77" t="s">
        <v>163</v>
      </c>
      <c r="E67" s="65" t="s">
        <v>166</v>
      </c>
      <c r="F67" s="76" t="str">
        <f t="shared" si="11"/>
        <v/>
      </c>
      <c r="G67" s="249" t="str">
        <f t="shared" si="10"/>
        <v/>
      </c>
      <c r="H67" s="25"/>
      <c r="I67" s="25"/>
    </row>
    <row r="68" spans="1:9">
      <c r="A68" s="123"/>
      <c r="B68" s="77" t="s">
        <v>22</v>
      </c>
      <c r="C68" s="77" t="s">
        <v>161</v>
      </c>
      <c r="D68" s="77" t="s">
        <v>163</v>
      </c>
      <c r="E68" s="65" t="s">
        <v>167</v>
      </c>
      <c r="F68" s="76" t="str">
        <f t="shared" si="11"/>
        <v/>
      </c>
      <c r="G68" s="249" t="str">
        <f t="shared" si="10"/>
        <v/>
      </c>
      <c r="H68" s="25"/>
      <c r="I68" s="25"/>
    </row>
    <row r="69" spans="1:9">
      <c r="A69" s="123"/>
      <c r="B69" s="78" t="s">
        <v>22</v>
      </c>
      <c r="C69" s="78" t="s">
        <v>161</v>
      </c>
      <c r="D69" s="78" t="s">
        <v>163</v>
      </c>
      <c r="E69" s="71" t="s">
        <v>175</v>
      </c>
      <c r="F69" s="76" t="str">
        <f t="shared" si="11"/>
        <v/>
      </c>
      <c r="G69" s="249" t="str">
        <f t="shared" si="10"/>
        <v/>
      </c>
      <c r="H69" s="25"/>
      <c r="I69" s="25"/>
    </row>
    <row r="70" spans="1:9">
      <c r="A70" s="123"/>
      <c r="B70" s="79" t="s">
        <v>22</v>
      </c>
      <c r="C70" s="79" t="s">
        <v>161</v>
      </c>
      <c r="D70" s="82" t="s">
        <v>164</v>
      </c>
      <c r="E70" s="68" t="s">
        <v>166</v>
      </c>
      <c r="F70" s="76" t="str">
        <f t="shared" si="11"/>
        <v/>
      </c>
      <c r="G70" s="249" t="str">
        <f t="shared" si="10"/>
        <v/>
      </c>
      <c r="H70" s="25"/>
      <c r="I70" s="25"/>
    </row>
    <row r="71" spans="1:9">
      <c r="A71" s="123"/>
      <c r="B71" s="79" t="s">
        <v>22</v>
      </c>
      <c r="C71" s="79" t="s">
        <v>161</v>
      </c>
      <c r="D71" s="82" t="s">
        <v>164</v>
      </c>
      <c r="E71" s="68" t="s">
        <v>167</v>
      </c>
      <c r="F71" s="76" t="str">
        <f t="shared" si="11"/>
        <v/>
      </c>
      <c r="G71" s="249" t="str">
        <f t="shared" si="10"/>
        <v/>
      </c>
      <c r="H71" s="25"/>
      <c r="I71" s="25"/>
    </row>
    <row r="72" spans="1:9">
      <c r="A72" s="123"/>
      <c r="B72" s="79" t="s">
        <v>22</v>
      </c>
      <c r="C72" s="79" t="s">
        <v>161</v>
      </c>
      <c r="D72" s="82" t="s">
        <v>164</v>
      </c>
      <c r="E72" s="68" t="s">
        <v>175</v>
      </c>
      <c r="F72" s="76" t="str">
        <f t="shared" si="11"/>
        <v/>
      </c>
      <c r="G72" s="249" t="str">
        <f t="shared" si="10"/>
        <v/>
      </c>
      <c r="H72" s="25"/>
      <c r="I72" s="25"/>
    </row>
    <row r="73" spans="1:9">
      <c r="A73" s="123"/>
      <c r="B73" s="79" t="s">
        <v>22</v>
      </c>
      <c r="C73" s="79" t="s">
        <v>161</v>
      </c>
      <c r="D73" s="82" t="s">
        <v>165</v>
      </c>
      <c r="E73" s="68" t="s">
        <v>166</v>
      </c>
      <c r="F73" s="76" t="str">
        <f t="shared" si="11"/>
        <v/>
      </c>
      <c r="G73" s="249" t="str">
        <f t="shared" si="10"/>
        <v/>
      </c>
      <c r="H73" s="25"/>
      <c r="I73" s="25"/>
    </row>
    <row r="74" spans="1:9">
      <c r="A74" s="123"/>
      <c r="B74" s="79" t="s">
        <v>22</v>
      </c>
      <c r="C74" s="79" t="s">
        <v>161</v>
      </c>
      <c r="D74" s="82" t="s">
        <v>165</v>
      </c>
      <c r="E74" s="68" t="s">
        <v>167</v>
      </c>
      <c r="F74" s="76" t="str">
        <f t="shared" si="11"/>
        <v/>
      </c>
      <c r="G74" s="249" t="str">
        <f t="shared" si="10"/>
        <v/>
      </c>
      <c r="H74" s="25"/>
      <c r="I74" s="25"/>
    </row>
    <row r="75" spans="1:9">
      <c r="A75" s="123"/>
      <c r="B75" s="115" t="s">
        <v>22</v>
      </c>
      <c r="C75" s="115" t="s">
        <v>161</v>
      </c>
      <c r="D75" s="162" t="s">
        <v>165</v>
      </c>
      <c r="E75" s="111" t="s">
        <v>175</v>
      </c>
      <c r="F75" s="118" t="str">
        <f t="shared" si="11"/>
        <v/>
      </c>
      <c r="G75" s="250" t="str">
        <f t="shared" si="10"/>
        <v/>
      </c>
      <c r="H75" s="25"/>
      <c r="I75" s="25"/>
    </row>
    <row r="76" spans="1:9">
      <c r="A76" s="123"/>
      <c r="B76" s="75" t="s">
        <v>23</v>
      </c>
      <c r="C76" s="76" t="s">
        <v>160</v>
      </c>
      <c r="D76" s="76" t="s">
        <v>163</v>
      </c>
      <c r="E76" s="65" t="s">
        <v>166</v>
      </c>
      <c r="F76" s="76" t="str">
        <f t="shared" ref="F76:F93" si="12">IF(H13="","",H13)</f>
        <v/>
      </c>
      <c r="G76" s="248" t="str">
        <f t="shared" si="10"/>
        <v/>
      </c>
      <c r="H76" s="25"/>
      <c r="I76" s="25"/>
    </row>
    <row r="77" spans="1:9">
      <c r="A77" s="123"/>
      <c r="B77" s="76" t="s">
        <v>23</v>
      </c>
      <c r="C77" s="76" t="s">
        <v>160</v>
      </c>
      <c r="D77" s="76" t="s">
        <v>163</v>
      </c>
      <c r="E77" s="65" t="s">
        <v>167</v>
      </c>
      <c r="F77" s="76" t="str">
        <f t="shared" si="12"/>
        <v/>
      </c>
      <c r="G77" s="249" t="str">
        <f t="shared" si="10"/>
        <v/>
      </c>
      <c r="H77" s="25"/>
      <c r="I77" s="25"/>
    </row>
    <row r="78" spans="1:9">
      <c r="A78" s="123"/>
      <c r="B78" s="76" t="s">
        <v>23</v>
      </c>
      <c r="C78" s="76" t="s">
        <v>160</v>
      </c>
      <c r="D78" s="76" t="s">
        <v>163</v>
      </c>
      <c r="E78" s="65" t="s">
        <v>175</v>
      </c>
      <c r="F78" s="76" t="str">
        <f t="shared" si="12"/>
        <v/>
      </c>
      <c r="G78" s="249" t="str">
        <f t="shared" si="10"/>
        <v/>
      </c>
      <c r="H78" s="25"/>
      <c r="I78" s="25"/>
    </row>
    <row r="79" spans="1:9">
      <c r="A79" s="123"/>
      <c r="B79" s="76" t="s">
        <v>23</v>
      </c>
      <c r="C79" s="76" t="s">
        <v>160</v>
      </c>
      <c r="D79" s="76" t="s">
        <v>164</v>
      </c>
      <c r="E79" s="65" t="s">
        <v>166</v>
      </c>
      <c r="F79" s="76" t="str">
        <f t="shared" si="12"/>
        <v/>
      </c>
      <c r="G79" s="249" t="str">
        <f t="shared" si="10"/>
        <v/>
      </c>
      <c r="H79" s="25"/>
      <c r="I79" s="25"/>
    </row>
    <row r="80" spans="1:9">
      <c r="A80" s="123"/>
      <c r="B80" s="76" t="s">
        <v>23</v>
      </c>
      <c r="C80" s="76" t="s">
        <v>160</v>
      </c>
      <c r="D80" s="76" t="s">
        <v>164</v>
      </c>
      <c r="E80" s="65" t="s">
        <v>167</v>
      </c>
      <c r="F80" s="76" t="str">
        <f t="shared" si="12"/>
        <v/>
      </c>
      <c r="G80" s="249" t="str">
        <f t="shared" si="10"/>
        <v/>
      </c>
      <c r="H80" s="25"/>
      <c r="I80" s="25"/>
    </row>
    <row r="81" spans="2:7">
      <c r="B81" s="76" t="s">
        <v>23</v>
      </c>
      <c r="C81" s="76" t="s">
        <v>160</v>
      </c>
      <c r="D81" s="76" t="s">
        <v>164</v>
      </c>
      <c r="E81" s="65" t="s">
        <v>175</v>
      </c>
      <c r="F81" s="76" t="str">
        <f t="shared" si="12"/>
        <v/>
      </c>
      <c r="G81" s="249" t="str">
        <f t="shared" si="10"/>
        <v/>
      </c>
    </row>
    <row r="82" spans="2:7">
      <c r="B82" s="77" t="s">
        <v>23</v>
      </c>
      <c r="C82" s="77" t="s">
        <v>160</v>
      </c>
      <c r="D82" s="76" t="s">
        <v>165</v>
      </c>
      <c r="E82" s="65" t="s">
        <v>166</v>
      </c>
      <c r="F82" s="76" t="str">
        <f t="shared" si="12"/>
        <v/>
      </c>
      <c r="G82" s="249" t="str">
        <f t="shared" si="10"/>
        <v/>
      </c>
    </row>
    <row r="83" spans="2:7">
      <c r="B83" s="77" t="s">
        <v>23</v>
      </c>
      <c r="C83" s="77" t="s">
        <v>160</v>
      </c>
      <c r="D83" s="76" t="s">
        <v>165</v>
      </c>
      <c r="E83" s="65" t="s">
        <v>167</v>
      </c>
      <c r="F83" s="76" t="str">
        <f t="shared" si="12"/>
        <v/>
      </c>
      <c r="G83" s="249" t="str">
        <f t="shared" si="10"/>
        <v/>
      </c>
    </row>
    <row r="84" spans="2:7">
      <c r="B84" s="77" t="s">
        <v>23</v>
      </c>
      <c r="C84" s="77" t="s">
        <v>160</v>
      </c>
      <c r="D84" s="76" t="s">
        <v>165</v>
      </c>
      <c r="E84" s="65" t="s">
        <v>175</v>
      </c>
      <c r="F84" s="76" t="str">
        <f t="shared" si="12"/>
        <v/>
      </c>
      <c r="G84" s="249" t="str">
        <f t="shared" si="10"/>
        <v/>
      </c>
    </row>
    <row r="85" spans="2:7">
      <c r="B85" s="77" t="s">
        <v>23</v>
      </c>
      <c r="C85" s="77" t="s">
        <v>161</v>
      </c>
      <c r="D85" s="77" t="s">
        <v>163</v>
      </c>
      <c r="E85" s="65" t="s">
        <v>166</v>
      </c>
      <c r="F85" s="76" t="str">
        <f t="shared" si="12"/>
        <v/>
      </c>
      <c r="G85" s="249" t="str">
        <f t="shared" si="10"/>
        <v/>
      </c>
    </row>
    <row r="86" spans="2:7">
      <c r="B86" s="77" t="s">
        <v>23</v>
      </c>
      <c r="C86" s="77" t="s">
        <v>161</v>
      </c>
      <c r="D86" s="77" t="s">
        <v>163</v>
      </c>
      <c r="E86" s="65" t="s">
        <v>167</v>
      </c>
      <c r="F86" s="76" t="str">
        <f t="shared" si="12"/>
        <v/>
      </c>
      <c r="G86" s="249" t="str">
        <f t="shared" si="10"/>
        <v/>
      </c>
    </row>
    <row r="87" spans="2:7">
      <c r="B87" s="78" t="s">
        <v>23</v>
      </c>
      <c r="C87" s="78" t="s">
        <v>161</v>
      </c>
      <c r="D87" s="78" t="s">
        <v>163</v>
      </c>
      <c r="E87" s="71" t="s">
        <v>175</v>
      </c>
      <c r="F87" s="76" t="str">
        <f t="shared" si="12"/>
        <v/>
      </c>
      <c r="G87" s="249" t="str">
        <f t="shared" si="10"/>
        <v/>
      </c>
    </row>
    <row r="88" spans="2:7">
      <c r="B88" s="79" t="s">
        <v>23</v>
      </c>
      <c r="C88" s="79" t="s">
        <v>161</v>
      </c>
      <c r="D88" s="82" t="s">
        <v>164</v>
      </c>
      <c r="E88" s="68" t="s">
        <v>166</v>
      </c>
      <c r="F88" s="76" t="str">
        <f t="shared" si="12"/>
        <v/>
      </c>
      <c r="G88" s="249" t="str">
        <f t="shared" si="10"/>
        <v/>
      </c>
    </row>
    <row r="89" spans="2:7">
      <c r="B89" s="79" t="s">
        <v>23</v>
      </c>
      <c r="C89" s="79" t="s">
        <v>161</v>
      </c>
      <c r="D89" s="82" t="s">
        <v>164</v>
      </c>
      <c r="E89" s="68" t="s">
        <v>167</v>
      </c>
      <c r="F89" s="76" t="str">
        <f t="shared" si="12"/>
        <v/>
      </c>
      <c r="G89" s="249" t="str">
        <f t="shared" si="10"/>
        <v/>
      </c>
    </row>
    <row r="90" spans="2:7">
      <c r="B90" s="79" t="s">
        <v>23</v>
      </c>
      <c r="C90" s="79" t="s">
        <v>161</v>
      </c>
      <c r="D90" s="82" t="s">
        <v>164</v>
      </c>
      <c r="E90" s="68" t="s">
        <v>175</v>
      </c>
      <c r="F90" s="76" t="str">
        <f t="shared" si="12"/>
        <v/>
      </c>
      <c r="G90" s="249" t="str">
        <f t="shared" si="10"/>
        <v/>
      </c>
    </row>
    <row r="91" spans="2:7">
      <c r="B91" s="79" t="s">
        <v>23</v>
      </c>
      <c r="C91" s="79" t="s">
        <v>161</v>
      </c>
      <c r="D91" s="82" t="s">
        <v>165</v>
      </c>
      <c r="E91" s="68" t="s">
        <v>166</v>
      </c>
      <c r="F91" s="76" t="str">
        <f t="shared" si="12"/>
        <v/>
      </c>
      <c r="G91" s="249" t="str">
        <f t="shared" si="10"/>
        <v/>
      </c>
    </row>
    <row r="92" spans="2:7">
      <c r="B92" s="79" t="s">
        <v>23</v>
      </c>
      <c r="C92" s="79" t="s">
        <v>161</v>
      </c>
      <c r="D92" s="82" t="s">
        <v>165</v>
      </c>
      <c r="E92" s="68" t="s">
        <v>167</v>
      </c>
      <c r="F92" s="76" t="str">
        <f t="shared" si="12"/>
        <v/>
      </c>
      <c r="G92" s="249" t="str">
        <f t="shared" si="10"/>
        <v/>
      </c>
    </row>
    <row r="93" spans="2:7">
      <c r="B93" s="115" t="s">
        <v>23</v>
      </c>
      <c r="C93" s="115" t="s">
        <v>161</v>
      </c>
      <c r="D93" s="162" t="s">
        <v>165</v>
      </c>
      <c r="E93" s="111" t="s">
        <v>175</v>
      </c>
      <c r="F93" s="118" t="str">
        <f t="shared" si="12"/>
        <v/>
      </c>
      <c r="G93" s="250" t="str">
        <f t="shared" si="10"/>
        <v/>
      </c>
    </row>
    <row r="94" spans="2:7">
      <c r="B94" s="75" t="s">
        <v>24</v>
      </c>
      <c r="C94" s="76" t="s">
        <v>160</v>
      </c>
      <c r="D94" s="76" t="s">
        <v>163</v>
      </c>
      <c r="E94" s="65" t="s">
        <v>166</v>
      </c>
      <c r="F94" s="76" t="str">
        <f t="shared" ref="F94:F111" si="13">IF(I13="","",I13)</f>
        <v/>
      </c>
      <c r="G94" s="248" t="str">
        <f t="shared" si="10"/>
        <v/>
      </c>
    </row>
    <row r="95" spans="2:7">
      <c r="B95" s="76" t="s">
        <v>24</v>
      </c>
      <c r="C95" s="76" t="s">
        <v>160</v>
      </c>
      <c r="D95" s="76" t="s">
        <v>163</v>
      </c>
      <c r="E95" s="65" t="s">
        <v>167</v>
      </c>
      <c r="F95" s="76" t="str">
        <f t="shared" si="13"/>
        <v/>
      </c>
      <c r="G95" s="249" t="str">
        <f t="shared" si="10"/>
        <v/>
      </c>
    </row>
    <row r="96" spans="2:7">
      <c r="B96" s="76" t="s">
        <v>24</v>
      </c>
      <c r="C96" s="76" t="s">
        <v>160</v>
      </c>
      <c r="D96" s="76" t="s">
        <v>163</v>
      </c>
      <c r="E96" s="65" t="s">
        <v>175</v>
      </c>
      <c r="F96" s="76" t="str">
        <f t="shared" si="13"/>
        <v/>
      </c>
      <c r="G96" s="249" t="str">
        <f t="shared" si="10"/>
        <v/>
      </c>
    </row>
    <row r="97" spans="2:7">
      <c r="B97" s="76" t="s">
        <v>24</v>
      </c>
      <c r="C97" s="76" t="s">
        <v>160</v>
      </c>
      <c r="D97" s="76" t="s">
        <v>164</v>
      </c>
      <c r="E97" s="65" t="s">
        <v>166</v>
      </c>
      <c r="F97" s="76" t="str">
        <f t="shared" si="13"/>
        <v/>
      </c>
      <c r="G97" s="249" t="str">
        <f t="shared" si="10"/>
        <v/>
      </c>
    </row>
    <row r="98" spans="2:7">
      <c r="B98" s="76" t="s">
        <v>24</v>
      </c>
      <c r="C98" s="76" t="s">
        <v>160</v>
      </c>
      <c r="D98" s="76" t="s">
        <v>164</v>
      </c>
      <c r="E98" s="65" t="s">
        <v>167</v>
      </c>
      <c r="F98" s="76" t="str">
        <f t="shared" si="13"/>
        <v/>
      </c>
      <c r="G98" s="249" t="str">
        <f t="shared" si="10"/>
        <v/>
      </c>
    </row>
    <row r="99" spans="2:7">
      <c r="B99" s="76" t="s">
        <v>24</v>
      </c>
      <c r="C99" s="76" t="s">
        <v>160</v>
      </c>
      <c r="D99" s="76" t="s">
        <v>164</v>
      </c>
      <c r="E99" s="65" t="s">
        <v>175</v>
      </c>
      <c r="F99" s="76" t="str">
        <f t="shared" si="13"/>
        <v/>
      </c>
      <c r="G99" s="249" t="str">
        <f t="shared" si="10"/>
        <v/>
      </c>
    </row>
    <row r="100" spans="2:7">
      <c r="B100" s="77" t="s">
        <v>24</v>
      </c>
      <c r="C100" s="77" t="s">
        <v>160</v>
      </c>
      <c r="D100" s="76" t="s">
        <v>165</v>
      </c>
      <c r="E100" s="65" t="s">
        <v>166</v>
      </c>
      <c r="F100" s="76" t="str">
        <f t="shared" si="13"/>
        <v/>
      </c>
      <c r="G100" s="249" t="str">
        <f t="shared" si="10"/>
        <v/>
      </c>
    </row>
    <row r="101" spans="2:7">
      <c r="B101" s="77" t="s">
        <v>24</v>
      </c>
      <c r="C101" s="77" t="s">
        <v>160</v>
      </c>
      <c r="D101" s="76" t="s">
        <v>165</v>
      </c>
      <c r="E101" s="65" t="s">
        <v>167</v>
      </c>
      <c r="F101" s="76" t="str">
        <f t="shared" si="13"/>
        <v/>
      </c>
      <c r="G101" s="249" t="str">
        <f t="shared" si="10"/>
        <v/>
      </c>
    </row>
    <row r="102" spans="2:7">
      <c r="B102" s="77" t="s">
        <v>24</v>
      </c>
      <c r="C102" s="77" t="s">
        <v>160</v>
      </c>
      <c r="D102" s="76" t="s">
        <v>165</v>
      </c>
      <c r="E102" s="65" t="s">
        <v>175</v>
      </c>
      <c r="F102" s="76" t="str">
        <f t="shared" si="13"/>
        <v/>
      </c>
      <c r="G102" s="249" t="str">
        <f t="shared" si="10"/>
        <v/>
      </c>
    </row>
    <row r="103" spans="2:7">
      <c r="B103" s="77" t="s">
        <v>24</v>
      </c>
      <c r="C103" s="77" t="s">
        <v>161</v>
      </c>
      <c r="D103" s="77" t="s">
        <v>163</v>
      </c>
      <c r="E103" s="65" t="s">
        <v>166</v>
      </c>
      <c r="F103" s="76" t="str">
        <f t="shared" si="13"/>
        <v/>
      </c>
      <c r="G103" s="249" t="str">
        <f t="shared" si="10"/>
        <v/>
      </c>
    </row>
    <row r="104" spans="2:7">
      <c r="B104" s="77" t="s">
        <v>24</v>
      </c>
      <c r="C104" s="77" t="s">
        <v>161</v>
      </c>
      <c r="D104" s="77" t="s">
        <v>163</v>
      </c>
      <c r="E104" s="65" t="s">
        <v>167</v>
      </c>
      <c r="F104" s="76" t="str">
        <f t="shared" si="13"/>
        <v/>
      </c>
      <c r="G104" s="249" t="str">
        <f t="shared" si="10"/>
        <v/>
      </c>
    </row>
    <row r="105" spans="2:7">
      <c r="B105" s="78" t="s">
        <v>24</v>
      </c>
      <c r="C105" s="78" t="s">
        <v>161</v>
      </c>
      <c r="D105" s="78" t="s">
        <v>163</v>
      </c>
      <c r="E105" s="71" t="s">
        <v>175</v>
      </c>
      <c r="F105" s="76" t="str">
        <f t="shared" si="13"/>
        <v/>
      </c>
      <c r="G105" s="249" t="str">
        <f t="shared" ref="G105:G129" si="14">IF(F105="","",CONCATENATE(C105,"_",D105,"_",E105))</f>
        <v/>
      </c>
    </row>
    <row r="106" spans="2:7">
      <c r="B106" s="79" t="s">
        <v>24</v>
      </c>
      <c r="C106" s="79" t="s">
        <v>161</v>
      </c>
      <c r="D106" s="82" t="s">
        <v>164</v>
      </c>
      <c r="E106" s="68" t="s">
        <v>166</v>
      </c>
      <c r="F106" s="76" t="str">
        <f t="shared" si="13"/>
        <v/>
      </c>
      <c r="G106" s="249" t="str">
        <f t="shared" si="14"/>
        <v/>
      </c>
    </row>
    <row r="107" spans="2:7">
      <c r="B107" s="79" t="s">
        <v>24</v>
      </c>
      <c r="C107" s="79" t="s">
        <v>161</v>
      </c>
      <c r="D107" s="82" t="s">
        <v>164</v>
      </c>
      <c r="E107" s="68" t="s">
        <v>167</v>
      </c>
      <c r="F107" s="76" t="str">
        <f t="shared" si="13"/>
        <v/>
      </c>
      <c r="G107" s="249" t="str">
        <f t="shared" si="14"/>
        <v/>
      </c>
    </row>
    <row r="108" spans="2:7">
      <c r="B108" s="79" t="s">
        <v>24</v>
      </c>
      <c r="C108" s="79" t="s">
        <v>161</v>
      </c>
      <c r="D108" s="82" t="s">
        <v>164</v>
      </c>
      <c r="E108" s="68" t="s">
        <v>175</v>
      </c>
      <c r="F108" s="76" t="str">
        <f t="shared" si="13"/>
        <v/>
      </c>
      <c r="G108" s="249" t="str">
        <f t="shared" si="14"/>
        <v/>
      </c>
    </row>
    <row r="109" spans="2:7">
      <c r="B109" s="79" t="s">
        <v>24</v>
      </c>
      <c r="C109" s="79" t="s">
        <v>161</v>
      </c>
      <c r="D109" s="82" t="s">
        <v>165</v>
      </c>
      <c r="E109" s="68" t="s">
        <v>166</v>
      </c>
      <c r="F109" s="76" t="str">
        <f t="shared" si="13"/>
        <v/>
      </c>
      <c r="G109" s="249" t="str">
        <f t="shared" si="14"/>
        <v/>
      </c>
    </row>
    <row r="110" spans="2:7">
      <c r="B110" s="79" t="s">
        <v>24</v>
      </c>
      <c r="C110" s="79" t="s">
        <v>161</v>
      </c>
      <c r="D110" s="82" t="s">
        <v>165</v>
      </c>
      <c r="E110" s="68" t="s">
        <v>167</v>
      </c>
      <c r="F110" s="76" t="str">
        <f t="shared" si="13"/>
        <v/>
      </c>
      <c r="G110" s="249" t="str">
        <f t="shared" si="14"/>
        <v/>
      </c>
    </row>
    <row r="111" spans="2:7">
      <c r="B111" s="115" t="s">
        <v>24</v>
      </c>
      <c r="C111" s="115" t="s">
        <v>161</v>
      </c>
      <c r="D111" s="162" t="s">
        <v>165</v>
      </c>
      <c r="E111" s="111" t="s">
        <v>175</v>
      </c>
      <c r="F111" s="118" t="str">
        <f t="shared" si="13"/>
        <v/>
      </c>
      <c r="G111" s="250" t="str">
        <f t="shared" si="14"/>
        <v/>
      </c>
    </row>
    <row r="112" spans="2:7">
      <c r="B112" s="75" t="s">
        <v>25</v>
      </c>
      <c r="C112" s="76" t="s">
        <v>160</v>
      </c>
      <c r="D112" s="76" t="s">
        <v>163</v>
      </c>
      <c r="E112" s="65" t="s">
        <v>166</v>
      </c>
      <c r="F112" s="76" t="str">
        <f t="shared" ref="F112:F129" si="15">IF(J13="","",J13)</f>
        <v/>
      </c>
      <c r="G112" s="248" t="str">
        <f t="shared" si="14"/>
        <v/>
      </c>
    </row>
    <row r="113" spans="2:7">
      <c r="B113" s="76" t="s">
        <v>25</v>
      </c>
      <c r="C113" s="76" t="s">
        <v>160</v>
      </c>
      <c r="D113" s="76" t="s">
        <v>163</v>
      </c>
      <c r="E113" s="65" t="s">
        <v>167</v>
      </c>
      <c r="F113" s="76" t="str">
        <f t="shared" si="15"/>
        <v/>
      </c>
      <c r="G113" s="249" t="str">
        <f t="shared" si="14"/>
        <v/>
      </c>
    </row>
    <row r="114" spans="2:7">
      <c r="B114" s="76" t="s">
        <v>25</v>
      </c>
      <c r="C114" s="76" t="s">
        <v>160</v>
      </c>
      <c r="D114" s="76" t="s">
        <v>163</v>
      </c>
      <c r="E114" s="65" t="s">
        <v>175</v>
      </c>
      <c r="F114" s="76" t="str">
        <f t="shared" si="15"/>
        <v/>
      </c>
      <c r="G114" s="249" t="str">
        <f t="shared" si="14"/>
        <v/>
      </c>
    </row>
    <row r="115" spans="2:7">
      <c r="B115" s="76" t="s">
        <v>25</v>
      </c>
      <c r="C115" s="76" t="s">
        <v>160</v>
      </c>
      <c r="D115" s="76" t="s">
        <v>164</v>
      </c>
      <c r="E115" s="65" t="s">
        <v>166</v>
      </c>
      <c r="F115" s="76" t="str">
        <f t="shared" si="15"/>
        <v/>
      </c>
      <c r="G115" s="249" t="str">
        <f t="shared" si="14"/>
        <v/>
      </c>
    </row>
    <row r="116" spans="2:7">
      <c r="B116" s="76" t="s">
        <v>25</v>
      </c>
      <c r="C116" s="76" t="s">
        <v>160</v>
      </c>
      <c r="D116" s="76" t="s">
        <v>164</v>
      </c>
      <c r="E116" s="65" t="s">
        <v>167</v>
      </c>
      <c r="F116" s="76" t="str">
        <f t="shared" si="15"/>
        <v/>
      </c>
      <c r="G116" s="249" t="str">
        <f t="shared" si="14"/>
        <v/>
      </c>
    </row>
    <row r="117" spans="2:7">
      <c r="B117" s="76" t="s">
        <v>25</v>
      </c>
      <c r="C117" s="76" t="s">
        <v>160</v>
      </c>
      <c r="D117" s="76" t="s">
        <v>164</v>
      </c>
      <c r="E117" s="65" t="s">
        <v>175</v>
      </c>
      <c r="F117" s="76" t="str">
        <f t="shared" si="15"/>
        <v/>
      </c>
      <c r="G117" s="249" t="str">
        <f t="shared" si="14"/>
        <v/>
      </c>
    </row>
    <row r="118" spans="2:7">
      <c r="B118" s="77" t="s">
        <v>25</v>
      </c>
      <c r="C118" s="77" t="s">
        <v>160</v>
      </c>
      <c r="D118" s="76" t="s">
        <v>165</v>
      </c>
      <c r="E118" s="65" t="s">
        <v>166</v>
      </c>
      <c r="F118" s="76" t="str">
        <f t="shared" si="15"/>
        <v/>
      </c>
      <c r="G118" s="249" t="str">
        <f t="shared" si="14"/>
        <v/>
      </c>
    </row>
    <row r="119" spans="2:7">
      <c r="B119" s="77" t="s">
        <v>25</v>
      </c>
      <c r="C119" s="77" t="s">
        <v>160</v>
      </c>
      <c r="D119" s="76" t="s">
        <v>165</v>
      </c>
      <c r="E119" s="65" t="s">
        <v>167</v>
      </c>
      <c r="F119" s="76" t="str">
        <f t="shared" si="15"/>
        <v/>
      </c>
      <c r="G119" s="249" t="str">
        <f t="shared" si="14"/>
        <v/>
      </c>
    </row>
    <row r="120" spans="2:7">
      <c r="B120" s="77" t="s">
        <v>25</v>
      </c>
      <c r="C120" s="77" t="s">
        <v>160</v>
      </c>
      <c r="D120" s="76" t="s">
        <v>165</v>
      </c>
      <c r="E120" s="65" t="s">
        <v>175</v>
      </c>
      <c r="F120" s="76" t="str">
        <f t="shared" si="15"/>
        <v/>
      </c>
      <c r="G120" s="249" t="str">
        <f t="shared" si="14"/>
        <v/>
      </c>
    </row>
    <row r="121" spans="2:7">
      <c r="B121" s="77" t="s">
        <v>25</v>
      </c>
      <c r="C121" s="77" t="s">
        <v>161</v>
      </c>
      <c r="D121" s="77" t="s">
        <v>163</v>
      </c>
      <c r="E121" s="65" t="s">
        <v>166</v>
      </c>
      <c r="F121" s="76" t="str">
        <f t="shared" si="15"/>
        <v/>
      </c>
      <c r="G121" s="249" t="str">
        <f t="shared" si="14"/>
        <v/>
      </c>
    </row>
    <row r="122" spans="2:7">
      <c r="B122" s="77" t="s">
        <v>25</v>
      </c>
      <c r="C122" s="77" t="s">
        <v>161</v>
      </c>
      <c r="D122" s="77" t="s">
        <v>163</v>
      </c>
      <c r="E122" s="65" t="s">
        <v>167</v>
      </c>
      <c r="F122" s="76" t="str">
        <f t="shared" si="15"/>
        <v/>
      </c>
      <c r="G122" s="249" t="str">
        <f t="shared" si="14"/>
        <v/>
      </c>
    </row>
    <row r="123" spans="2:7">
      <c r="B123" s="78" t="s">
        <v>25</v>
      </c>
      <c r="C123" s="78" t="s">
        <v>161</v>
      </c>
      <c r="D123" s="78" t="s">
        <v>163</v>
      </c>
      <c r="E123" s="71" t="s">
        <v>175</v>
      </c>
      <c r="F123" s="76" t="str">
        <f t="shared" si="15"/>
        <v/>
      </c>
      <c r="G123" s="249" t="str">
        <f t="shared" si="14"/>
        <v/>
      </c>
    </row>
    <row r="124" spans="2:7">
      <c r="B124" s="79" t="s">
        <v>25</v>
      </c>
      <c r="C124" s="79" t="s">
        <v>161</v>
      </c>
      <c r="D124" s="82" t="s">
        <v>164</v>
      </c>
      <c r="E124" s="68" t="s">
        <v>166</v>
      </c>
      <c r="F124" s="76" t="str">
        <f t="shared" si="15"/>
        <v/>
      </c>
      <c r="G124" s="249" t="str">
        <f t="shared" si="14"/>
        <v/>
      </c>
    </row>
    <row r="125" spans="2:7">
      <c r="B125" s="79" t="s">
        <v>25</v>
      </c>
      <c r="C125" s="79" t="s">
        <v>161</v>
      </c>
      <c r="D125" s="82" t="s">
        <v>164</v>
      </c>
      <c r="E125" s="68" t="s">
        <v>167</v>
      </c>
      <c r="F125" s="76" t="str">
        <f t="shared" si="15"/>
        <v/>
      </c>
      <c r="G125" s="249" t="str">
        <f t="shared" si="14"/>
        <v/>
      </c>
    </row>
    <row r="126" spans="2:7">
      <c r="B126" s="79" t="s">
        <v>25</v>
      </c>
      <c r="C126" s="79" t="s">
        <v>161</v>
      </c>
      <c r="D126" s="82" t="s">
        <v>164</v>
      </c>
      <c r="E126" s="68" t="s">
        <v>175</v>
      </c>
      <c r="F126" s="76" t="str">
        <f t="shared" si="15"/>
        <v/>
      </c>
      <c r="G126" s="249" t="str">
        <f t="shared" si="14"/>
        <v/>
      </c>
    </row>
    <row r="127" spans="2:7">
      <c r="B127" s="79" t="s">
        <v>25</v>
      </c>
      <c r="C127" s="79" t="s">
        <v>161</v>
      </c>
      <c r="D127" s="82" t="s">
        <v>165</v>
      </c>
      <c r="E127" s="68" t="s">
        <v>166</v>
      </c>
      <c r="F127" s="76" t="str">
        <f t="shared" si="15"/>
        <v/>
      </c>
      <c r="G127" s="249" t="str">
        <f t="shared" si="14"/>
        <v/>
      </c>
    </row>
    <row r="128" spans="2:7">
      <c r="B128" s="79" t="s">
        <v>25</v>
      </c>
      <c r="C128" s="79" t="s">
        <v>161</v>
      </c>
      <c r="D128" s="82" t="s">
        <v>165</v>
      </c>
      <c r="E128" s="68" t="s">
        <v>167</v>
      </c>
      <c r="F128" s="76" t="str">
        <f t="shared" si="15"/>
        <v/>
      </c>
      <c r="G128" s="249" t="str">
        <f t="shared" si="14"/>
        <v/>
      </c>
    </row>
    <row r="129" spans="1:8">
      <c r="B129" s="115" t="s">
        <v>25</v>
      </c>
      <c r="C129" s="115" t="s">
        <v>161</v>
      </c>
      <c r="D129" s="162" t="s">
        <v>165</v>
      </c>
      <c r="E129" s="111" t="s">
        <v>175</v>
      </c>
      <c r="F129" s="118" t="str">
        <f t="shared" si="15"/>
        <v/>
      </c>
      <c r="G129" s="250" t="str">
        <f t="shared" si="14"/>
        <v/>
      </c>
    </row>
    <row r="132" spans="1:8" ht="14.4">
      <c r="A132" s="237" t="s">
        <v>191</v>
      </c>
      <c r="B132" s="238"/>
      <c r="C132" s="238"/>
      <c r="D132" s="238"/>
      <c r="E132" s="238"/>
      <c r="F132" s="238"/>
      <c r="G132" s="238"/>
      <c r="H132" s="238"/>
    </row>
    <row r="134" spans="1:8">
      <c r="B134" s="35" t="s">
        <v>192</v>
      </c>
    </row>
    <row r="135" spans="1:8">
      <c r="B135" s="35"/>
      <c r="C135" s="35" t="s">
        <v>193</v>
      </c>
    </row>
    <row r="137" spans="1:8" ht="15.6">
      <c r="B137" s="24" t="s">
        <v>194</v>
      </c>
      <c r="D137" s="203"/>
      <c r="E137" s="203"/>
    </row>
    <row r="138" spans="1:8" ht="15.6">
      <c r="B138" s="35" t="s">
        <v>212</v>
      </c>
      <c r="D138" s="203"/>
      <c r="E138" s="203"/>
    </row>
    <row r="139" spans="1:8" ht="15.6">
      <c r="B139" s="35"/>
      <c r="C139" s="240" t="s">
        <v>218</v>
      </c>
      <c r="D139" s="251"/>
      <c r="E139" s="251"/>
      <c r="F139" s="238"/>
      <c r="G139" s="238"/>
      <c r="H139" s="238"/>
    </row>
    <row r="140" spans="1:8" ht="15.6">
      <c r="B140" s="35"/>
      <c r="C140" s="240" t="s">
        <v>219</v>
      </c>
      <c r="D140" s="251"/>
      <c r="E140" s="251"/>
      <c r="F140" s="238"/>
      <c r="G140" s="238"/>
      <c r="H140" s="238"/>
    </row>
    <row r="141" spans="1:8" ht="15.6">
      <c r="B141" s="35"/>
      <c r="C141" s="240" t="s">
        <v>220</v>
      </c>
      <c r="D141" s="251"/>
      <c r="E141" s="251"/>
      <c r="F141" s="238"/>
      <c r="G141" s="238"/>
      <c r="H141" s="238"/>
    </row>
    <row r="142" spans="1:8" ht="15.6">
      <c r="B142" s="35"/>
      <c r="D142" s="203"/>
      <c r="E142" s="203"/>
    </row>
    <row r="143" spans="1:8">
      <c r="B143" s="35" t="s">
        <v>213</v>
      </c>
    </row>
    <row r="144" spans="1:8">
      <c r="B144" s="35" t="s">
        <v>200</v>
      </c>
    </row>
    <row r="145" spans="1:8" ht="13.8">
      <c r="B145" s="35"/>
      <c r="C145" s="240" t="s">
        <v>202</v>
      </c>
      <c r="D145" s="240"/>
      <c r="E145" s="240"/>
      <c r="F145" s="240"/>
      <c r="G145" s="238"/>
      <c r="H145" s="238"/>
    </row>
    <row r="146" spans="1:8" ht="13.8">
      <c r="B146" s="35"/>
      <c r="C146" s="240" t="s">
        <v>203</v>
      </c>
      <c r="D146" s="238"/>
      <c r="E146" s="238"/>
      <c r="F146" s="238"/>
      <c r="G146" s="238"/>
      <c r="H146" s="238"/>
    </row>
    <row r="147" spans="1:8">
      <c r="B147" s="35"/>
    </row>
    <row r="148" spans="1:8">
      <c r="B148" s="35" t="s">
        <v>201</v>
      </c>
    </row>
    <row r="149" spans="1:8">
      <c r="B149" s="35"/>
      <c r="C149" s="35" t="s">
        <v>238</v>
      </c>
    </row>
    <row r="150" spans="1:8">
      <c r="B150" s="35"/>
      <c r="C150" s="263" t="s">
        <v>239</v>
      </c>
    </row>
    <row r="151" spans="1:8">
      <c r="B151" s="35"/>
      <c r="C151" s="35" t="s">
        <v>244</v>
      </c>
    </row>
    <row r="152" spans="1:8">
      <c r="B152" s="35"/>
      <c r="C152" s="263" t="s">
        <v>240</v>
      </c>
    </row>
    <row r="153" spans="1:8">
      <c r="B153" s="35"/>
      <c r="C153" s="35" t="s">
        <v>241</v>
      </c>
    </row>
    <row r="154" spans="1:8">
      <c r="B154" s="35"/>
      <c r="C154" s="35" t="s">
        <v>242</v>
      </c>
    </row>
    <row r="155" spans="1:8">
      <c r="B155" s="35"/>
      <c r="C155" s="35"/>
    </row>
    <row r="156" spans="1:8">
      <c r="B156" s="35"/>
      <c r="C156" s="35" t="s">
        <v>243</v>
      </c>
    </row>
    <row r="157" spans="1:8" ht="13.8">
      <c r="C157" s="240" t="s">
        <v>221</v>
      </c>
      <c r="D157" s="238"/>
      <c r="E157" s="238"/>
      <c r="F157" s="238"/>
      <c r="G157" s="238"/>
      <c r="H157" s="238"/>
    </row>
    <row r="158" spans="1:8" ht="13.8">
      <c r="C158" s="240" t="s">
        <v>219</v>
      </c>
      <c r="D158" s="238"/>
      <c r="E158" s="238"/>
      <c r="F158" s="238"/>
      <c r="G158" s="238"/>
      <c r="H158" s="238"/>
    </row>
    <row r="159" spans="1:8" ht="13.8">
      <c r="C159" s="240" t="s">
        <v>220</v>
      </c>
      <c r="D159" s="238"/>
      <c r="E159" s="238"/>
      <c r="F159" s="238"/>
      <c r="G159" s="238"/>
      <c r="H159" s="238"/>
    </row>
    <row r="160" spans="1:8" ht="15.6">
      <c r="A160" s="203"/>
      <c r="D160" s="203"/>
      <c r="E160" s="203"/>
      <c r="F160" s="203"/>
      <c r="G160" s="203"/>
      <c r="H160" s="203"/>
    </row>
    <row r="161" spans="1:8" ht="15.6">
      <c r="A161" s="203"/>
      <c r="C161" s="35" t="s">
        <v>245</v>
      </c>
      <c r="D161" s="203"/>
      <c r="E161" s="203"/>
      <c r="F161" s="203"/>
      <c r="G161" s="203"/>
      <c r="H161" s="203"/>
    </row>
    <row r="162" spans="1:8" ht="15.6">
      <c r="A162" s="203"/>
      <c r="C162" s="240" t="s">
        <v>246</v>
      </c>
      <c r="D162" s="251"/>
      <c r="E162" s="251"/>
      <c r="F162" s="251"/>
      <c r="G162" s="251"/>
      <c r="H162" s="251"/>
    </row>
    <row r="163" spans="1:8" ht="15.6">
      <c r="A163" s="203"/>
      <c r="C163" s="240" t="s">
        <v>202</v>
      </c>
      <c r="D163" s="251"/>
      <c r="E163" s="251"/>
      <c r="F163" s="251"/>
      <c r="G163" s="251"/>
      <c r="H163" s="251"/>
    </row>
    <row r="164" spans="1:8" ht="15.6">
      <c r="A164" s="203"/>
      <c r="C164" s="240" t="s">
        <v>261</v>
      </c>
      <c r="D164" s="251"/>
      <c r="E164" s="251"/>
      <c r="F164" s="251"/>
      <c r="G164" s="251"/>
      <c r="H164" s="251"/>
    </row>
    <row r="165" spans="1:8" ht="15.6">
      <c r="A165" s="203"/>
      <c r="C165" s="240" t="s">
        <v>219</v>
      </c>
      <c r="D165" s="251"/>
      <c r="E165" s="251"/>
      <c r="F165" s="251"/>
      <c r="G165" s="251"/>
      <c r="H165" s="251"/>
    </row>
    <row r="166" spans="1:8" ht="15.6">
      <c r="A166" s="203"/>
      <c r="C166" s="240" t="s">
        <v>262</v>
      </c>
      <c r="D166" s="251"/>
      <c r="E166" s="251"/>
      <c r="F166" s="251"/>
      <c r="G166" s="251"/>
      <c r="H166" s="251"/>
    </row>
    <row r="167" spans="1:8" ht="15.6">
      <c r="A167" s="203"/>
      <c r="D167" s="203"/>
      <c r="E167" s="203"/>
      <c r="F167" s="203"/>
      <c r="G167" s="203"/>
      <c r="H167" s="203"/>
    </row>
    <row r="168" spans="1:8" ht="15.6">
      <c r="A168" s="203"/>
      <c r="B168" s="35" t="s">
        <v>258</v>
      </c>
      <c r="D168" s="203"/>
      <c r="E168" s="203"/>
      <c r="F168" s="203"/>
      <c r="G168" s="203"/>
      <c r="H168" s="203"/>
    </row>
    <row r="169" spans="1:8" ht="15.6">
      <c r="A169" s="203"/>
      <c r="C169" s="240" t="s">
        <v>263</v>
      </c>
      <c r="D169" s="251"/>
      <c r="E169" s="251"/>
      <c r="F169" s="251"/>
      <c r="G169" s="251"/>
      <c r="H169" s="251"/>
    </row>
    <row r="170" spans="1:8" ht="15.6">
      <c r="A170" s="203"/>
      <c r="B170" s="203"/>
      <c r="C170" s="240" t="s">
        <v>270</v>
      </c>
      <c r="D170" s="251"/>
      <c r="E170" s="251"/>
      <c r="F170" s="251"/>
      <c r="G170" s="251"/>
      <c r="H170" s="251"/>
    </row>
    <row r="171" spans="1:8" ht="13.8">
      <c r="C171" s="240" t="s">
        <v>264</v>
      </c>
      <c r="D171" s="238"/>
      <c r="E171" s="238"/>
      <c r="F171" s="238"/>
      <c r="G171" s="238"/>
      <c r="H171" s="238"/>
    </row>
    <row r="175" spans="1:8">
      <c r="A175" s="264" t="s">
        <v>284</v>
      </c>
    </row>
  </sheetData>
  <sheetProtection sheet="1" objects="1" scenarios="1" formatCells="0"/>
  <mergeCells count="6">
    <mergeCell ref="G9:H9"/>
    <mergeCell ref="D2:H2"/>
    <mergeCell ref="D3:H3"/>
    <mergeCell ref="D4:H4"/>
    <mergeCell ref="G7:H7"/>
    <mergeCell ref="G8:H8"/>
  </mergeCells>
  <phoneticPr fontId="6" type="noConversion"/>
  <hyperlinks>
    <hyperlink ref="A175" r:id="rId1"/>
  </hyperlinks>
  <printOptions gridLines="1" gridLinesSet="0"/>
  <pageMargins left="0.78740157499999996" right="0.78740157499999996" top="0.984251969" bottom="0.984251969" header="0.4921259845" footer="0.4921259845"/>
  <pageSetup paperSize="9" orientation="portrait" horizontalDpi="360" verticalDpi="360" copies="0" r:id="rId2"/>
  <headerFooter alignWithMargins="0">
    <oddHeader>&amp;A</oddHeader>
    <oddFooter>Page &amp;P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2:W228"/>
  <sheetViews>
    <sheetView zoomScaleNormal="100" workbookViewId="0">
      <selection activeCell="D2" sqref="D2:H3"/>
    </sheetView>
  </sheetViews>
  <sheetFormatPr baseColWidth="10" defaultRowHeight="13.2"/>
  <cols>
    <col min="1" max="1" width="18" style="10" customWidth="1"/>
    <col min="2" max="10" width="13.77734375" style="10" customWidth="1"/>
    <col min="11" max="11" width="8.33203125" style="10" customWidth="1"/>
    <col min="12" max="12" width="7.6640625" style="10" customWidth="1"/>
    <col min="13" max="13" width="6.44140625" style="10" customWidth="1"/>
    <col min="14" max="15" width="7.6640625" style="10" customWidth="1"/>
    <col min="16" max="17" width="7.44140625" style="10" customWidth="1"/>
    <col min="18" max="18" width="6.33203125" style="10" customWidth="1"/>
    <col min="19" max="19" width="7.33203125" style="10" customWidth="1"/>
    <col min="20" max="20" width="1.77734375" style="10" customWidth="1"/>
    <col min="21" max="22" width="8.6640625" style="10" customWidth="1"/>
    <col min="23" max="16384" width="11.5546875" style="10"/>
  </cols>
  <sheetData>
    <row r="2" spans="1:23" ht="16.2">
      <c r="D2" s="266" t="s">
        <v>176</v>
      </c>
      <c r="E2" s="266"/>
      <c r="F2" s="266"/>
      <c r="G2" s="266"/>
      <c r="H2" s="266"/>
    </row>
    <row r="3" spans="1:23" ht="16.2">
      <c r="D3" s="266" t="s">
        <v>174</v>
      </c>
      <c r="E3" s="266"/>
      <c r="F3" s="266"/>
      <c r="G3" s="266"/>
      <c r="H3" s="266"/>
    </row>
    <row r="4" spans="1:23" ht="13.8" thickBot="1"/>
    <row r="5" spans="1:23" ht="14.4" thickBot="1">
      <c r="A5" s="95" t="s">
        <v>3</v>
      </c>
      <c r="B5" s="39"/>
      <c r="C5" s="39"/>
      <c r="D5" s="39"/>
      <c r="E5" s="50"/>
      <c r="F5" s="11"/>
      <c r="G5" s="11"/>
      <c r="H5" s="11"/>
      <c r="I5" s="11"/>
      <c r="J5" s="11"/>
    </row>
    <row r="6" spans="1:23" ht="13.8">
      <c r="A6" s="40"/>
      <c r="B6" s="41" t="s">
        <v>4</v>
      </c>
      <c r="C6" s="41" t="s">
        <v>5</v>
      </c>
      <c r="D6" s="41" t="s">
        <v>6</v>
      </c>
      <c r="E6" s="51" t="s">
        <v>7</v>
      </c>
      <c r="F6" s="11"/>
      <c r="G6" s="267" t="s">
        <v>8</v>
      </c>
      <c r="H6" s="268"/>
      <c r="I6" s="120"/>
      <c r="J6" s="120"/>
      <c r="K6" s="25"/>
    </row>
    <row r="7" spans="1:23" ht="13.8">
      <c r="A7" s="127" t="s">
        <v>9</v>
      </c>
      <c r="B7" s="48" t="s">
        <v>34</v>
      </c>
      <c r="C7" s="48" t="s">
        <v>35</v>
      </c>
      <c r="D7" s="48" t="s">
        <v>42</v>
      </c>
      <c r="E7" s="100" t="s">
        <v>49</v>
      </c>
      <c r="F7" s="11"/>
      <c r="G7" s="269" t="s">
        <v>150</v>
      </c>
      <c r="H7" s="270"/>
      <c r="I7" s="121"/>
      <c r="J7" s="121"/>
      <c r="K7" s="25"/>
    </row>
    <row r="8" spans="1:23" ht="14.4" thickBot="1">
      <c r="A8" s="128" t="s">
        <v>13</v>
      </c>
      <c r="B8" s="48" t="s">
        <v>38</v>
      </c>
      <c r="C8" s="48" t="s">
        <v>39</v>
      </c>
      <c r="D8" s="48" t="s">
        <v>40</v>
      </c>
      <c r="E8" s="100" t="s">
        <v>41</v>
      </c>
      <c r="F8" s="11"/>
      <c r="G8" s="271" t="s">
        <v>18</v>
      </c>
      <c r="H8" s="272"/>
      <c r="I8" s="120"/>
      <c r="J8" s="120"/>
      <c r="K8" s="120"/>
    </row>
    <row r="9" spans="1:23" ht="13.8" thickBot="1">
      <c r="A9" s="129" t="s">
        <v>43</v>
      </c>
      <c r="B9" s="55" t="s">
        <v>44</v>
      </c>
      <c r="C9" s="55" t="s">
        <v>45</v>
      </c>
      <c r="D9" s="55" t="s">
        <v>46</v>
      </c>
      <c r="E9" s="132" t="s">
        <v>48</v>
      </c>
      <c r="F9" s="121"/>
      <c r="G9" s="121"/>
      <c r="H9" s="121"/>
      <c r="I9" s="121"/>
      <c r="J9" s="121"/>
      <c r="K9" s="25"/>
    </row>
    <row r="10" spans="1:23" ht="25.5" customHeight="1">
      <c r="F10" s="185" t="s">
        <v>149</v>
      </c>
      <c r="G10" s="18"/>
      <c r="H10" s="18"/>
      <c r="I10" s="122"/>
      <c r="J10" s="122"/>
      <c r="M10" s="86" t="str">
        <f>C7</f>
        <v>5°C</v>
      </c>
      <c r="N10" s="86" t="str">
        <f>D7</f>
        <v>30°C</v>
      </c>
      <c r="O10" s="14" t="str">
        <f>E7</f>
        <v>50°C</v>
      </c>
      <c r="P10" s="10" t="s">
        <v>59</v>
      </c>
      <c r="Q10" s="86" t="str">
        <f>C8</f>
        <v>10 mn</v>
      </c>
      <c r="R10" s="86" t="str">
        <f>D8</f>
        <v>25 mn</v>
      </c>
      <c r="S10" s="86" t="str">
        <f>E8</f>
        <v>40 mn</v>
      </c>
      <c r="T10" s="10" t="s">
        <v>59</v>
      </c>
      <c r="U10" s="10" t="str">
        <f>C9</f>
        <v>5 mn</v>
      </c>
      <c r="V10" s="10" t="str">
        <f>D9</f>
        <v>15 mn</v>
      </c>
      <c r="W10" s="14" t="str">
        <f>E9</f>
        <v>30 mn</v>
      </c>
    </row>
    <row r="11" spans="1:23" ht="13.8">
      <c r="A11" s="43" t="s">
        <v>19</v>
      </c>
      <c r="B11" s="44" t="str">
        <f>B7</f>
        <v>Temp.</v>
      </c>
      <c r="C11" s="44" t="str">
        <f>B8</f>
        <v>Purge</v>
      </c>
      <c r="D11" s="44" t="str">
        <f>B9</f>
        <v>Séchage</v>
      </c>
      <c r="E11" s="43" t="s">
        <v>20</v>
      </c>
      <c r="F11" s="130" t="s">
        <v>21</v>
      </c>
      <c r="G11" s="130" t="s">
        <v>22</v>
      </c>
      <c r="H11" s="130" t="s">
        <v>23</v>
      </c>
      <c r="I11" s="130" t="s">
        <v>24</v>
      </c>
      <c r="J11" s="130" t="s">
        <v>25</v>
      </c>
      <c r="K11" s="25"/>
      <c r="M11" s="10" t="str">
        <f>B7</f>
        <v>Temp.</v>
      </c>
      <c r="N11" s="10" t="str">
        <f>B7</f>
        <v>Temp.</v>
      </c>
      <c r="O11" s="14" t="str">
        <f>B7</f>
        <v>Temp.</v>
      </c>
      <c r="Q11" s="10" t="str">
        <f>B8</f>
        <v>Purge</v>
      </c>
      <c r="R11" s="10" t="str">
        <f>B8</f>
        <v>Purge</v>
      </c>
      <c r="S11" s="10" t="str">
        <f>B8</f>
        <v>Purge</v>
      </c>
      <c r="U11" s="10" t="str">
        <f>B9</f>
        <v>Séchage</v>
      </c>
      <c r="V11" s="10" t="str">
        <f>B9</f>
        <v>Séchage</v>
      </c>
      <c r="W11" s="14" t="str">
        <f>B9</f>
        <v>Séchage</v>
      </c>
    </row>
    <row r="12" spans="1:23">
      <c r="A12" s="98">
        <v>1</v>
      </c>
      <c r="B12" s="131" t="str">
        <f>C$7</f>
        <v>5°C</v>
      </c>
      <c r="C12" s="131" t="str">
        <f>C$8</f>
        <v>10 mn</v>
      </c>
      <c r="D12" s="131" t="str">
        <f>C$9</f>
        <v>5 mn</v>
      </c>
      <c r="E12" s="99">
        <f>MEDIAN(F12:J12)</f>
        <v>52</v>
      </c>
      <c r="F12" s="101">
        <v>51</v>
      </c>
      <c r="G12" s="101">
        <v>53</v>
      </c>
      <c r="H12" s="101"/>
      <c r="I12" s="101"/>
      <c r="J12" s="101"/>
      <c r="K12" s="25"/>
      <c r="L12" s="10" t="s">
        <v>4</v>
      </c>
      <c r="M12" s="15">
        <f>B42+C42</f>
        <v>62.833333333333336</v>
      </c>
      <c r="N12" s="15">
        <f>B43+C43</f>
        <v>70.133333333333326</v>
      </c>
      <c r="O12" s="15">
        <f>B42+C44</f>
        <v>72.444444444444443</v>
      </c>
      <c r="Q12" s="15">
        <f>B42+D42</f>
        <v>67.87777777777778</v>
      </c>
      <c r="R12" s="15">
        <f>B43+D43</f>
        <v>74</v>
      </c>
      <c r="S12" s="15">
        <f>B44+D44</f>
        <v>63.533333333333331</v>
      </c>
      <c r="U12" s="15">
        <f>B42+E42</f>
        <v>65.933333333333337</v>
      </c>
      <c r="V12" s="15">
        <f>B43+E43</f>
        <v>68.488888888888894</v>
      </c>
      <c r="W12" s="15">
        <f>B44+E44</f>
        <v>70.98888888888888</v>
      </c>
    </row>
    <row r="13" spans="1:23">
      <c r="A13" s="98">
        <v>2</v>
      </c>
      <c r="B13" s="131" t="str">
        <f t="shared" ref="B13:B20" si="0">C$7</f>
        <v>5°C</v>
      </c>
      <c r="C13" s="131" t="str">
        <f t="shared" ref="C13:C14" si="1">C$8</f>
        <v>10 mn</v>
      </c>
      <c r="D13" s="131" t="str">
        <f>D$9</f>
        <v>15 mn</v>
      </c>
      <c r="E13" s="99">
        <f t="shared" ref="E13:E28" si="2">MEDIAN(F13:J13)</f>
        <v>75.5</v>
      </c>
      <c r="F13" s="101">
        <v>73</v>
      </c>
      <c r="G13" s="101">
        <v>78</v>
      </c>
      <c r="H13" s="101"/>
      <c r="I13" s="101"/>
      <c r="J13" s="101"/>
      <c r="K13" s="25"/>
      <c r="L13" s="10" t="s">
        <v>26</v>
      </c>
      <c r="M13" s="15">
        <f>B42</f>
        <v>68.470370370370375</v>
      </c>
      <c r="N13" s="15">
        <f>B42</f>
        <v>68.470370370370375</v>
      </c>
      <c r="O13" s="15">
        <f>B42</f>
        <v>68.470370370370375</v>
      </c>
      <c r="P13" s="15">
        <f>B43</f>
        <v>68.470370370370375</v>
      </c>
      <c r="Q13" s="15">
        <f>B42</f>
        <v>68.470370370370375</v>
      </c>
      <c r="R13" s="15">
        <f>B42</f>
        <v>68.470370370370375</v>
      </c>
      <c r="S13" s="15">
        <f>B42</f>
        <v>68.470370370370375</v>
      </c>
      <c r="T13" s="15">
        <f>B42</f>
        <v>68.470370370370375</v>
      </c>
      <c r="U13" s="15">
        <f>B42</f>
        <v>68.470370370370375</v>
      </c>
      <c r="V13" s="15">
        <f>B42</f>
        <v>68.470370370370375</v>
      </c>
      <c r="W13" s="15">
        <f>B42</f>
        <v>68.470370370370375</v>
      </c>
    </row>
    <row r="14" spans="1:23">
      <c r="A14" s="98">
        <v>3</v>
      </c>
      <c r="B14" s="131" t="str">
        <f t="shared" si="0"/>
        <v>5°C</v>
      </c>
      <c r="C14" s="131" t="str">
        <f t="shared" si="1"/>
        <v>10 mn</v>
      </c>
      <c r="D14" s="131" t="str">
        <f>E$9</f>
        <v>30 mn</v>
      </c>
      <c r="E14" s="99">
        <f t="shared" si="2"/>
        <v>75.5</v>
      </c>
      <c r="F14" s="101">
        <v>74</v>
      </c>
      <c r="G14" s="101">
        <v>77</v>
      </c>
      <c r="H14" s="101"/>
      <c r="I14" s="101"/>
      <c r="J14" s="101"/>
      <c r="K14" s="25"/>
    </row>
    <row r="15" spans="1:23">
      <c r="A15" s="98">
        <v>4</v>
      </c>
      <c r="B15" s="131" t="str">
        <f t="shared" si="0"/>
        <v>5°C</v>
      </c>
      <c r="C15" s="131" t="str">
        <f>D$8</f>
        <v>25 mn</v>
      </c>
      <c r="D15" s="131" t="str">
        <f>C$9</f>
        <v>5 mn</v>
      </c>
      <c r="E15" s="99">
        <f t="shared" si="2"/>
        <v>77.5</v>
      </c>
      <c r="F15" s="101">
        <v>75</v>
      </c>
      <c r="G15" s="101">
        <v>80</v>
      </c>
      <c r="H15" s="101"/>
      <c r="I15" s="101"/>
      <c r="J15" s="101"/>
      <c r="K15" s="25"/>
    </row>
    <row r="16" spans="1:23">
      <c r="A16" s="98">
        <v>5</v>
      </c>
      <c r="B16" s="131" t="str">
        <f t="shared" si="0"/>
        <v>5°C</v>
      </c>
      <c r="C16" s="131" t="str">
        <f t="shared" ref="C16:C17" si="3">D$8</f>
        <v>25 mn</v>
      </c>
      <c r="D16" s="131" t="str">
        <f>D$9</f>
        <v>15 mn</v>
      </c>
      <c r="E16" s="99">
        <f t="shared" si="2"/>
        <v>69.5</v>
      </c>
      <c r="F16" s="101">
        <v>66</v>
      </c>
      <c r="G16" s="101">
        <v>73</v>
      </c>
      <c r="H16" s="101"/>
      <c r="I16" s="101"/>
      <c r="J16" s="101"/>
      <c r="K16" s="25"/>
    </row>
    <row r="17" spans="1:16">
      <c r="A17" s="98">
        <v>6</v>
      </c>
      <c r="B17" s="131" t="str">
        <f t="shared" si="0"/>
        <v>5°C</v>
      </c>
      <c r="C17" s="131" t="str">
        <f t="shared" si="3"/>
        <v>25 mn</v>
      </c>
      <c r="D17" s="131" t="str">
        <f>E$9</f>
        <v>30 mn</v>
      </c>
      <c r="E17" s="99">
        <f t="shared" si="2"/>
        <v>80</v>
      </c>
      <c r="F17" s="101">
        <v>77</v>
      </c>
      <c r="G17" s="101">
        <v>83</v>
      </c>
      <c r="H17" s="101"/>
      <c r="I17" s="101"/>
      <c r="J17" s="101"/>
      <c r="K17" s="25"/>
    </row>
    <row r="18" spans="1:16">
      <c r="A18" s="98">
        <v>7</v>
      </c>
      <c r="B18" s="131" t="str">
        <f t="shared" si="0"/>
        <v>5°C</v>
      </c>
      <c r="C18" s="131" t="str">
        <f>E$8</f>
        <v>40 mn</v>
      </c>
      <c r="D18" s="131" t="str">
        <f>C$9</f>
        <v>5 mn</v>
      </c>
      <c r="E18" s="99">
        <f t="shared" si="2"/>
        <v>42.5</v>
      </c>
      <c r="F18" s="101">
        <v>40.5</v>
      </c>
      <c r="G18" s="101">
        <v>44.5</v>
      </c>
      <c r="H18" s="101"/>
      <c r="I18" s="101"/>
      <c r="J18" s="101"/>
      <c r="K18" s="25"/>
    </row>
    <row r="19" spans="1:16">
      <c r="A19" s="98">
        <v>8</v>
      </c>
      <c r="B19" s="131" t="str">
        <f t="shared" si="0"/>
        <v>5°C</v>
      </c>
      <c r="C19" s="131" t="str">
        <f t="shared" ref="C19:C20" si="4">E$8</f>
        <v>40 mn</v>
      </c>
      <c r="D19" s="131" t="str">
        <f>D$9</f>
        <v>15 mn</v>
      </c>
      <c r="E19" s="99">
        <f t="shared" si="2"/>
        <v>45.6</v>
      </c>
      <c r="F19" s="101">
        <v>44.1</v>
      </c>
      <c r="G19" s="101">
        <v>47.1</v>
      </c>
      <c r="H19" s="101"/>
      <c r="I19" s="101"/>
      <c r="J19" s="101"/>
      <c r="K19" s="25"/>
    </row>
    <row r="20" spans="1:16">
      <c r="A20" s="98">
        <v>9</v>
      </c>
      <c r="B20" s="131" t="str">
        <f t="shared" si="0"/>
        <v>5°C</v>
      </c>
      <c r="C20" s="131" t="str">
        <f t="shared" si="4"/>
        <v>40 mn</v>
      </c>
      <c r="D20" s="131" t="str">
        <f>E$9</f>
        <v>30 mn</v>
      </c>
      <c r="E20" s="99">
        <f t="shared" si="2"/>
        <v>47.4</v>
      </c>
      <c r="F20" s="101">
        <v>45.4</v>
      </c>
      <c r="G20" s="101">
        <v>49.4</v>
      </c>
      <c r="H20" s="101"/>
      <c r="I20" s="101"/>
      <c r="J20" s="101"/>
      <c r="K20" s="25"/>
    </row>
    <row r="21" spans="1:16">
      <c r="A21" s="98">
        <v>10</v>
      </c>
      <c r="B21" s="131" t="str">
        <f>D$7</f>
        <v>30°C</v>
      </c>
      <c r="C21" s="131" t="str">
        <f>C$8</f>
        <v>10 mn</v>
      </c>
      <c r="D21" s="131" t="str">
        <f>C$9</f>
        <v>5 mn</v>
      </c>
      <c r="E21" s="99">
        <f t="shared" si="2"/>
        <v>53.4</v>
      </c>
      <c r="F21" s="101">
        <v>52.9</v>
      </c>
      <c r="G21" s="101">
        <v>53.9</v>
      </c>
      <c r="H21" s="101"/>
      <c r="I21" s="101"/>
      <c r="J21" s="101"/>
      <c r="K21" s="25"/>
    </row>
    <row r="22" spans="1:16">
      <c r="A22" s="98">
        <v>11</v>
      </c>
      <c r="B22" s="131" t="str">
        <f t="shared" ref="B22:B29" si="5">D$7</f>
        <v>30°C</v>
      </c>
      <c r="C22" s="131" t="str">
        <f t="shared" ref="C22:C23" si="6">C$8</f>
        <v>10 mn</v>
      </c>
      <c r="D22" s="131" t="str">
        <f>D$9</f>
        <v>15 mn</v>
      </c>
      <c r="E22" s="99">
        <f t="shared" si="2"/>
        <v>71.5</v>
      </c>
      <c r="F22" s="101">
        <v>72</v>
      </c>
      <c r="G22" s="101">
        <v>71</v>
      </c>
      <c r="H22" s="101"/>
      <c r="I22" s="101"/>
      <c r="J22" s="101"/>
      <c r="K22" s="25"/>
      <c r="N22" s="10" t="str">
        <f>B7</f>
        <v>Temp.</v>
      </c>
      <c r="O22" s="10" t="str">
        <f>B7</f>
        <v>Temp.</v>
      </c>
      <c r="P22" s="14" t="str">
        <f>B7</f>
        <v>Temp.</v>
      </c>
    </row>
    <row r="23" spans="1:16">
      <c r="A23" s="98">
        <v>12</v>
      </c>
      <c r="B23" s="131" t="str">
        <f t="shared" si="5"/>
        <v>30°C</v>
      </c>
      <c r="C23" s="131" t="str">
        <f t="shared" si="6"/>
        <v>10 mn</v>
      </c>
      <c r="D23" s="131" t="str">
        <f>E$9</f>
        <v>30 mn</v>
      </c>
      <c r="E23" s="99">
        <f t="shared" si="2"/>
        <v>70.5</v>
      </c>
      <c r="F23" s="101">
        <v>73</v>
      </c>
      <c r="G23" s="101">
        <v>68</v>
      </c>
      <c r="H23" s="101"/>
      <c r="I23" s="101"/>
      <c r="J23" s="101"/>
      <c r="K23" s="25"/>
      <c r="N23" s="86" t="str">
        <f>C7</f>
        <v>5°C</v>
      </c>
      <c r="O23" s="86" t="str">
        <f>D7</f>
        <v>30°C</v>
      </c>
      <c r="P23" s="14" t="str">
        <f>E7</f>
        <v>50°C</v>
      </c>
    </row>
    <row r="24" spans="1:16">
      <c r="A24" s="98">
        <v>13</v>
      </c>
      <c r="B24" s="131" t="str">
        <f t="shared" si="5"/>
        <v>30°C</v>
      </c>
      <c r="C24" s="131" t="str">
        <f>D$8</f>
        <v>25 mn</v>
      </c>
      <c r="D24" s="131" t="str">
        <f>C$9</f>
        <v>5 mn</v>
      </c>
      <c r="E24" s="99">
        <f t="shared" si="2"/>
        <v>76</v>
      </c>
      <c r="F24" s="101">
        <v>74</v>
      </c>
      <c r="G24" s="101">
        <v>78</v>
      </c>
      <c r="H24" s="101"/>
      <c r="I24" s="101"/>
      <c r="J24" s="101"/>
      <c r="K24" s="25"/>
      <c r="L24" s="14" t="str">
        <f>D8</f>
        <v>25 mn</v>
      </c>
      <c r="M24" s="14" t="str">
        <f>B8</f>
        <v>Purge</v>
      </c>
      <c r="N24" s="22">
        <f>(E12+E13+E14)/3</f>
        <v>67.666666666666671</v>
      </c>
      <c r="O24" s="22">
        <f>(E21+E22+E23)/3</f>
        <v>65.13333333333334</v>
      </c>
      <c r="P24" s="10">
        <f>(E30+E31+E32)/3</f>
        <v>70.833333333333329</v>
      </c>
    </row>
    <row r="25" spans="1:16">
      <c r="A25" s="98">
        <v>14</v>
      </c>
      <c r="B25" s="131" t="str">
        <f t="shared" si="5"/>
        <v>30°C</v>
      </c>
      <c r="C25" s="131" t="str">
        <f t="shared" ref="C25:C26" si="7">D$8</f>
        <v>25 mn</v>
      </c>
      <c r="D25" s="131" t="str">
        <f>D$9</f>
        <v>15 mn</v>
      </c>
      <c r="E25" s="99">
        <f t="shared" si="2"/>
        <v>71.5</v>
      </c>
      <c r="F25" s="101">
        <v>75</v>
      </c>
      <c r="G25" s="101">
        <v>68</v>
      </c>
      <c r="H25" s="101"/>
      <c r="I25" s="101"/>
      <c r="J25" s="101"/>
      <c r="K25" s="25"/>
      <c r="L25" s="14" t="str">
        <f>C8</f>
        <v>10 mn</v>
      </c>
      <c r="M25" s="14" t="str">
        <f>B8</f>
        <v>Purge</v>
      </c>
      <c r="N25" s="22">
        <f>(E15+E16+E17)/3</f>
        <v>75.666666666666671</v>
      </c>
      <c r="O25" s="22">
        <f>(E24+E25+E26)/3</f>
        <v>74</v>
      </c>
      <c r="P25" s="10">
        <f>(E33+E34+E35)/3</f>
        <v>72.333333333333329</v>
      </c>
    </row>
    <row r="26" spans="1:16">
      <c r="A26" s="98">
        <v>15</v>
      </c>
      <c r="B26" s="131" t="str">
        <f t="shared" si="5"/>
        <v>30°C</v>
      </c>
      <c r="C26" s="131" t="str">
        <f t="shared" si="7"/>
        <v>25 mn</v>
      </c>
      <c r="D26" s="131" t="str">
        <f>E$9</f>
        <v>30 mn</v>
      </c>
      <c r="E26" s="99">
        <f t="shared" si="2"/>
        <v>74.5</v>
      </c>
      <c r="F26" s="101">
        <v>76</v>
      </c>
      <c r="G26" s="101">
        <v>73</v>
      </c>
      <c r="H26" s="101"/>
      <c r="I26" s="101"/>
      <c r="J26" s="101"/>
      <c r="K26" s="25"/>
      <c r="L26" s="14" t="str">
        <f>E8</f>
        <v>40 mn</v>
      </c>
      <c r="M26" s="14" t="str">
        <f>B8</f>
        <v>Purge</v>
      </c>
      <c r="N26" s="22">
        <f>(E18+E19+E20)/3</f>
        <v>45.166666666666664</v>
      </c>
      <c r="O26" s="22">
        <f>(E27+E28+E29)/3</f>
        <v>71.266666666666666</v>
      </c>
      <c r="P26" s="10">
        <f>(E36+E37+E38)/3</f>
        <v>74.166666666666671</v>
      </c>
    </row>
    <row r="27" spans="1:16">
      <c r="A27" s="98">
        <v>16</v>
      </c>
      <c r="B27" s="131" t="str">
        <f t="shared" si="5"/>
        <v>30°C</v>
      </c>
      <c r="C27" s="131" t="str">
        <f>E$8</f>
        <v>40 mn</v>
      </c>
      <c r="D27" s="131" t="str">
        <f>C$9</f>
        <v>5 mn</v>
      </c>
      <c r="E27" s="99">
        <f t="shared" si="2"/>
        <v>79.5</v>
      </c>
      <c r="F27" s="101">
        <v>77</v>
      </c>
      <c r="G27" s="101">
        <v>82</v>
      </c>
      <c r="H27" s="101"/>
      <c r="I27" s="101"/>
      <c r="J27" s="101"/>
      <c r="K27" s="25"/>
      <c r="L27" s="10" t="s">
        <v>59</v>
      </c>
      <c r="N27" s="22"/>
      <c r="O27" s="22"/>
    </row>
    <row r="28" spans="1:16">
      <c r="A28" s="98">
        <v>17</v>
      </c>
      <c r="B28" s="131" t="str">
        <f t="shared" si="5"/>
        <v>30°C</v>
      </c>
      <c r="C28" s="131" t="str">
        <f t="shared" ref="C28:C29" si="8">E$8</f>
        <v>40 mn</v>
      </c>
      <c r="D28" s="131" t="str">
        <f>D$9</f>
        <v>15 mn</v>
      </c>
      <c r="E28" s="99">
        <f t="shared" si="2"/>
        <v>67.3</v>
      </c>
      <c r="F28" s="101">
        <v>70.8</v>
      </c>
      <c r="G28" s="101">
        <v>63.8</v>
      </c>
      <c r="H28" s="101"/>
      <c r="I28" s="101"/>
      <c r="J28" s="101"/>
      <c r="K28" s="25"/>
      <c r="L28" s="14" t="str">
        <f>C9</f>
        <v>5 mn</v>
      </c>
      <c r="M28" s="14" t="str">
        <f>B9</f>
        <v>Séchage</v>
      </c>
      <c r="N28" s="20">
        <f>(E12+E15+E18)/3</f>
        <v>57.333333333333336</v>
      </c>
      <c r="O28" s="20">
        <f>(E21+E24+E27)/3</f>
        <v>69.63333333333334</v>
      </c>
      <c r="P28" s="10">
        <f>(E30+E33+E36)/3</f>
        <v>70.833333333333329</v>
      </c>
    </row>
    <row r="29" spans="1:16">
      <c r="A29" s="98">
        <v>18</v>
      </c>
      <c r="B29" s="131" t="str">
        <f t="shared" si="5"/>
        <v>30°C</v>
      </c>
      <c r="C29" s="131" t="str">
        <f t="shared" si="8"/>
        <v>40 mn</v>
      </c>
      <c r="D29" s="131" t="str">
        <f>E$9</f>
        <v>30 mn</v>
      </c>
      <c r="E29" s="99">
        <f t="shared" ref="E29:E38" si="9">MEDIAN(F29:J29)</f>
        <v>67</v>
      </c>
      <c r="F29" s="101">
        <v>68</v>
      </c>
      <c r="G29" s="101">
        <v>66</v>
      </c>
      <c r="H29" s="101"/>
      <c r="I29" s="101"/>
      <c r="J29" s="101"/>
      <c r="K29" s="25"/>
      <c r="L29" s="14" t="str">
        <f>D9</f>
        <v>15 mn</v>
      </c>
      <c r="M29" s="14" t="str">
        <f>B9</f>
        <v>Séchage</v>
      </c>
      <c r="N29" s="20">
        <f>(E13+E16+E19)/2</f>
        <v>95.3</v>
      </c>
      <c r="O29" s="20">
        <f>(E22+E25+E28)/3</f>
        <v>70.100000000000009</v>
      </c>
      <c r="P29" s="10">
        <f>(E31+E34+E37)/3</f>
        <v>71.833333333333329</v>
      </c>
    </row>
    <row r="30" spans="1:16">
      <c r="A30" s="98">
        <v>19</v>
      </c>
      <c r="B30" s="131" t="str">
        <f>E$7</f>
        <v>50°C</v>
      </c>
      <c r="C30" s="131" t="str">
        <f>C$8</f>
        <v>10 mn</v>
      </c>
      <c r="D30" s="131" t="str">
        <f>C$9</f>
        <v>5 mn</v>
      </c>
      <c r="E30" s="99">
        <f t="shared" si="9"/>
        <v>67</v>
      </c>
      <c r="F30" s="101">
        <v>69</v>
      </c>
      <c r="G30" s="101">
        <v>65</v>
      </c>
      <c r="H30" s="101"/>
      <c r="I30" s="101"/>
      <c r="J30" s="101"/>
      <c r="K30" s="25"/>
      <c r="L30" s="14" t="str">
        <f>E9</f>
        <v>30 mn</v>
      </c>
      <c r="M30" s="14" t="str">
        <f>B9</f>
        <v>Séchage</v>
      </c>
      <c r="N30" s="22">
        <f>(E14+E17+E20)/3</f>
        <v>67.63333333333334</v>
      </c>
      <c r="O30" s="22">
        <f>(E23+E26+E29)/3</f>
        <v>70.666666666666671</v>
      </c>
      <c r="P30" s="22">
        <f>(E32+E35+E38)/3</f>
        <v>74.666666666666671</v>
      </c>
    </row>
    <row r="31" spans="1:16">
      <c r="A31" s="98">
        <v>20</v>
      </c>
      <c r="B31" s="131" t="str">
        <f t="shared" ref="B31:B38" si="10">E$7</f>
        <v>50°C</v>
      </c>
      <c r="C31" s="131" t="str">
        <f t="shared" ref="C31:C32" si="11">C$8</f>
        <v>10 mn</v>
      </c>
      <c r="D31" s="131" t="str">
        <f>D$9</f>
        <v>15 mn</v>
      </c>
      <c r="E31" s="99">
        <f t="shared" si="9"/>
        <v>73</v>
      </c>
      <c r="F31" s="101">
        <v>70</v>
      </c>
      <c r="G31" s="101">
        <v>76</v>
      </c>
      <c r="H31" s="101"/>
      <c r="I31" s="101"/>
      <c r="J31" s="101"/>
      <c r="K31" s="25"/>
      <c r="N31" s="86"/>
      <c r="O31" s="86"/>
      <c r="P31" s="86"/>
    </row>
    <row r="32" spans="1:16">
      <c r="A32" s="98">
        <v>21</v>
      </c>
      <c r="B32" s="131" t="str">
        <f t="shared" si="10"/>
        <v>50°C</v>
      </c>
      <c r="C32" s="131" t="str">
        <f t="shared" si="11"/>
        <v>10 mn</v>
      </c>
      <c r="D32" s="131" t="str">
        <f>E$9</f>
        <v>30 mn</v>
      </c>
      <c r="E32" s="99">
        <f t="shared" si="9"/>
        <v>72.5</v>
      </c>
      <c r="F32" s="101">
        <v>71</v>
      </c>
      <c r="G32" s="101">
        <v>74</v>
      </c>
      <c r="H32" s="101"/>
      <c r="I32" s="101"/>
      <c r="J32" s="101"/>
      <c r="K32" s="25"/>
      <c r="N32" s="86"/>
      <c r="O32" s="86"/>
      <c r="P32" s="86"/>
    </row>
    <row r="33" spans="1:16">
      <c r="A33" s="98">
        <v>22</v>
      </c>
      <c r="B33" s="131" t="str">
        <f t="shared" si="10"/>
        <v>50°C</v>
      </c>
      <c r="C33" s="131" t="str">
        <f>D$8</f>
        <v>25 mn</v>
      </c>
      <c r="D33" s="131" t="str">
        <f>C$9</f>
        <v>5 mn</v>
      </c>
      <c r="E33" s="99">
        <f t="shared" si="9"/>
        <v>73</v>
      </c>
      <c r="F33" s="101">
        <v>72</v>
      </c>
      <c r="G33" s="101">
        <v>74</v>
      </c>
      <c r="H33" s="101"/>
      <c r="I33" s="101"/>
      <c r="J33" s="101"/>
      <c r="K33" s="25"/>
      <c r="N33" s="86"/>
      <c r="O33" s="86"/>
      <c r="P33" s="86"/>
    </row>
    <row r="34" spans="1:16">
      <c r="A34" s="98">
        <v>23</v>
      </c>
      <c r="B34" s="131" t="str">
        <f t="shared" si="10"/>
        <v>50°C</v>
      </c>
      <c r="C34" s="131" t="str">
        <f t="shared" ref="C34:C35" si="12">D$8</f>
        <v>25 mn</v>
      </c>
      <c r="D34" s="131" t="str">
        <f>D$9</f>
        <v>15 mn</v>
      </c>
      <c r="E34" s="99">
        <f t="shared" si="9"/>
        <v>68</v>
      </c>
      <c r="F34" s="101">
        <v>67</v>
      </c>
      <c r="G34" s="101">
        <v>69</v>
      </c>
      <c r="H34" s="101"/>
      <c r="I34" s="101"/>
      <c r="J34" s="101"/>
      <c r="K34" s="25"/>
      <c r="N34" s="86"/>
      <c r="O34" s="86"/>
      <c r="P34" s="86"/>
    </row>
    <row r="35" spans="1:16">
      <c r="A35" s="98">
        <v>24</v>
      </c>
      <c r="B35" s="131" t="str">
        <f t="shared" si="10"/>
        <v>50°C</v>
      </c>
      <c r="C35" s="131" t="str">
        <f t="shared" si="12"/>
        <v>25 mn</v>
      </c>
      <c r="D35" s="131" t="str">
        <f>E$9</f>
        <v>30 mn</v>
      </c>
      <c r="E35" s="99">
        <f t="shared" si="9"/>
        <v>76</v>
      </c>
      <c r="F35" s="101">
        <v>74</v>
      </c>
      <c r="G35" s="101">
        <v>78</v>
      </c>
      <c r="H35" s="101"/>
      <c r="I35" s="101"/>
      <c r="J35" s="101"/>
      <c r="K35" s="25"/>
      <c r="N35" s="86"/>
      <c r="O35" s="86"/>
      <c r="P35" s="86"/>
    </row>
    <row r="36" spans="1:16">
      <c r="A36" s="98">
        <v>25</v>
      </c>
      <c r="B36" s="131" t="str">
        <f t="shared" si="10"/>
        <v>50°C</v>
      </c>
      <c r="C36" s="131" t="str">
        <f>E$8</f>
        <v>40 mn</v>
      </c>
      <c r="D36" s="131" t="str">
        <f>C$9</f>
        <v>5 mn</v>
      </c>
      <c r="E36" s="99">
        <f t="shared" si="9"/>
        <v>72.5</v>
      </c>
      <c r="F36" s="101">
        <v>75</v>
      </c>
      <c r="G36" s="101">
        <v>70</v>
      </c>
      <c r="H36" s="101"/>
      <c r="I36" s="101"/>
      <c r="J36" s="101"/>
      <c r="K36" s="25"/>
      <c r="N36" s="86"/>
      <c r="O36" s="86"/>
      <c r="P36" s="86"/>
    </row>
    <row r="37" spans="1:16">
      <c r="A37" s="98">
        <v>26</v>
      </c>
      <c r="B37" s="131" t="str">
        <f t="shared" si="10"/>
        <v>50°C</v>
      </c>
      <c r="C37" s="131" t="str">
        <f t="shared" ref="C37:C38" si="13">E$8</f>
        <v>40 mn</v>
      </c>
      <c r="D37" s="131" t="str">
        <f>D$9</f>
        <v>15 mn</v>
      </c>
      <c r="E37" s="99">
        <f t="shared" si="9"/>
        <v>74.5</v>
      </c>
      <c r="F37" s="101">
        <v>76</v>
      </c>
      <c r="G37" s="101">
        <v>73</v>
      </c>
      <c r="H37" s="101"/>
      <c r="I37" s="101"/>
      <c r="J37" s="101"/>
      <c r="K37" s="25"/>
      <c r="N37" s="86"/>
      <c r="O37" s="86"/>
      <c r="P37" s="86"/>
    </row>
    <row r="38" spans="1:16">
      <c r="A38" s="98">
        <v>27</v>
      </c>
      <c r="B38" s="131" t="str">
        <f t="shared" si="10"/>
        <v>50°C</v>
      </c>
      <c r="C38" s="131" t="str">
        <f t="shared" si="13"/>
        <v>40 mn</v>
      </c>
      <c r="D38" s="131" t="str">
        <f>E$9</f>
        <v>30 mn</v>
      </c>
      <c r="E38" s="99">
        <f t="shared" si="9"/>
        <v>75.5</v>
      </c>
      <c r="F38" s="101">
        <v>77</v>
      </c>
      <c r="G38" s="101">
        <v>74</v>
      </c>
      <c r="H38" s="101"/>
      <c r="I38" s="101"/>
      <c r="J38" s="101"/>
      <c r="K38" s="25"/>
      <c r="N38" s="86"/>
      <c r="O38" s="86"/>
      <c r="P38" s="86"/>
    </row>
    <row r="39" spans="1:16" ht="14.4">
      <c r="A39" s="123"/>
      <c r="B39" s="123"/>
      <c r="C39" s="123"/>
      <c r="D39" s="123"/>
      <c r="E39" s="89"/>
      <c r="F39" s="27"/>
      <c r="H39" s="27"/>
      <c r="I39" s="27"/>
      <c r="J39" s="27"/>
      <c r="K39" s="25"/>
      <c r="N39" s="86"/>
      <c r="O39" s="86"/>
      <c r="P39" s="86"/>
    </row>
    <row r="40" spans="1:16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86"/>
      <c r="N40" s="22"/>
      <c r="O40" s="22"/>
      <c r="P40" s="22"/>
    </row>
    <row r="41" spans="1:16" ht="13.8">
      <c r="A41" s="62" t="s">
        <v>27</v>
      </c>
      <c r="B41" s="63" t="s">
        <v>28</v>
      </c>
      <c r="C41" s="63" t="s">
        <v>29</v>
      </c>
      <c r="D41" s="63" t="s">
        <v>30</v>
      </c>
      <c r="E41" s="63" t="s">
        <v>47</v>
      </c>
      <c r="F41" s="26"/>
      <c r="G41" s="242" t="s">
        <v>205</v>
      </c>
      <c r="H41" s="243"/>
      <c r="I41" s="244"/>
      <c r="J41" s="26"/>
      <c r="K41" s="25"/>
      <c r="L41" s="86"/>
      <c r="N41" s="22"/>
      <c r="O41" s="22"/>
      <c r="P41" s="22"/>
    </row>
    <row r="42" spans="1:16" ht="13.8">
      <c r="A42" s="62" t="s">
        <v>31</v>
      </c>
      <c r="B42" s="64">
        <f>AVERAGE($E$12:$E$38)</f>
        <v>68.470370370370375</v>
      </c>
      <c r="C42" s="64">
        <f>AVERAGE(_TA1)-B42</f>
        <v>-5.6370370370370395</v>
      </c>
      <c r="D42" s="64">
        <f>AVERAGE(_TB1)-B42</f>
        <v>-0.59259259259259522</v>
      </c>
      <c r="E42" s="64">
        <f>AVERAGE(_TC1)-B42</f>
        <v>-2.5370370370370381</v>
      </c>
      <c r="F42" s="27"/>
      <c r="G42" s="245" t="s">
        <v>206</v>
      </c>
      <c r="H42" s="246"/>
      <c r="I42" s="247"/>
      <c r="J42" s="27"/>
      <c r="K42" s="25"/>
      <c r="N42" s="14" t="str">
        <f>B8</f>
        <v>Purge</v>
      </c>
      <c r="O42" s="14" t="str">
        <f>B8</f>
        <v>Purge</v>
      </c>
      <c r="P42" s="14" t="str">
        <f>B8</f>
        <v>Purge</v>
      </c>
    </row>
    <row r="43" spans="1:16" ht="13.8">
      <c r="A43" s="62" t="s">
        <v>32</v>
      </c>
      <c r="B43" s="64">
        <f>AVERAGE($E$12:$E$38)</f>
        <v>68.470370370370375</v>
      </c>
      <c r="C43" s="64">
        <f>(SUM(_TA2)/9)-B43</f>
        <v>1.6629629629629505</v>
      </c>
      <c r="D43" s="64">
        <f>AVERAGE(_TB2)-B43</f>
        <v>5.5296296296296248</v>
      </c>
      <c r="E43" s="64">
        <f>AVERAGE(_TC2)-B43</f>
        <v>1.8518518518519045E-2</v>
      </c>
      <c r="F43" s="27"/>
      <c r="G43" s="27"/>
      <c r="H43" s="27"/>
      <c r="I43" s="27"/>
      <c r="J43" s="27"/>
      <c r="K43" s="25"/>
      <c r="N43" s="14" t="str">
        <f>C8</f>
        <v>10 mn</v>
      </c>
      <c r="O43" s="14" t="str">
        <f>D8</f>
        <v>25 mn</v>
      </c>
      <c r="P43" s="14" t="str">
        <f>E8</f>
        <v>40 mn</v>
      </c>
    </row>
    <row r="44" spans="1:16" ht="13.8">
      <c r="A44" s="62" t="s">
        <v>33</v>
      </c>
      <c r="B44" s="64">
        <f>AVERAGE($E$12:$E$38)</f>
        <v>68.470370370370375</v>
      </c>
      <c r="C44" s="64">
        <f>(SUM(_TA3)/9)-B44</f>
        <v>3.9740740740740677</v>
      </c>
      <c r="D44" s="64">
        <f>AVERAGE(_TB3)-B44</f>
        <v>-4.9370370370370438</v>
      </c>
      <c r="E44" s="64">
        <f>AVERAGE(_TC3)-B44</f>
        <v>2.5185185185185048</v>
      </c>
      <c r="F44" s="27"/>
      <c r="G44" s="27"/>
      <c r="H44" s="27"/>
      <c r="I44" s="27"/>
      <c r="J44" s="27"/>
      <c r="K44" s="25"/>
      <c r="L44" s="14" t="str">
        <f>C9</f>
        <v>5 mn</v>
      </c>
      <c r="M44" s="14" t="str">
        <f>B9</f>
        <v>Séchage</v>
      </c>
      <c r="N44" s="10">
        <f>(E12+E21+E30)/3</f>
        <v>57.466666666666669</v>
      </c>
      <c r="O44" s="10">
        <f>(E15+E24+E33)/3</f>
        <v>75.5</v>
      </c>
      <c r="P44" s="10">
        <f>(E18+E27+E36)/3</f>
        <v>64.833333333333329</v>
      </c>
    </row>
    <row r="45" spans="1:16">
      <c r="B45" s="25"/>
      <c r="C45" s="28"/>
      <c r="D45" s="28"/>
      <c r="E45" s="28"/>
      <c r="F45" s="28"/>
      <c r="G45" s="28"/>
      <c r="H45" s="28"/>
      <c r="I45" s="28"/>
      <c r="J45" s="28"/>
      <c r="K45" s="25"/>
      <c r="L45" s="14" t="str">
        <f>D9</f>
        <v>15 mn</v>
      </c>
      <c r="M45" s="14" t="str">
        <f>B9</f>
        <v>Séchage</v>
      </c>
      <c r="N45" s="22">
        <f>(E13+E22+E31)/3</f>
        <v>73.333333333333329</v>
      </c>
      <c r="O45" s="22">
        <f>(E16+E25+E34)/3</f>
        <v>69.666666666666671</v>
      </c>
      <c r="P45" s="22">
        <f>(E19+E28+E37)/3</f>
        <v>62.466666666666669</v>
      </c>
    </row>
    <row r="46" spans="1:16">
      <c r="B46" s="25"/>
      <c r="C46" s="25"/>
      <c r="D46" s="25"/>
      <c r="E46" s="28"/>
      <c r="F46" s="28"/>
      <c r="G46" s="28"/>
      <c r="H46" s="28"/>
      <c r="I46" s="28"/>
      <c r="J46" s="28"/>
      <c r="K46" s="25"/>
      <c r="L46" s="14" t="str">
        <f>E9</f>
        <v>30 mn</v>
      </c>
      <c r="M46" s="14" t="str">
        <f>B9</f>
        <v>Séchage</v>
      </c>
      <c r="N46" s="10">
        <f>(E14+E23+E32)/3</f>
        <v>72.833333333333329</v>
      </c>
      <c r="O46" s="10">
        <f>(E17+E26+E35)/3</f>
        <v>76.833333333333329</v>
      </c>
      <c r="P46" s="10">
        <f>(E20+E29+E38)/3</f>
        <v>63.300000000000004</v>
      </c>
    </row>
    <row r="47" spans="1:16" ht="13.8">
      <c r="A47" s="124" t="s">
        <v>172</v>
      </c>
      <c r="B47" s="123"/>
      <c r="C47" s="25"/>
      <c r="D47" s="125"/>
      <c r="E47" s="32"/>
      <c r="F47" s="28"/>
      <c r="G47" s="28"/>
      <c r="H47" s="32"/>
      <c r="I47" s="28"/>
      <c r="J47" s="28"/>
      <c r="K47" s="25"/>
    </row>
    <row r="48" spans="1:16" ht="13.8">
      <c r="A48" s="126"/>
      <c r="B48" s="234" t="s">
        <v>250</v>
      </c>
      <c r="C48" s="234" t="s">
        <v>187</v>
      </c>
      <c r="D48" s="119" t="s">
        <v>188</v>
      </c>
      <c r="E48" s="119" t="s">
        <v>211</v>
      </c>
      <c r="F48" s="235" t="s">
        <v>189</v>
      </c>
      <c r="G48" s="119" t="s">
        <v>190</v>
      </c>
      <c r="H48" s="32"/>
      <c r="I48" s="33"/>
      <c r="J48" s="25"/>
      <c r="K48" s="25"/>
    </row>
    <row r="49" spans="1:13" ht="13.8">
      <c r="A49" s="126"/>
      <c r="B49" s="75" t="s">
        <v>21</v>
      </c>
      <c r="C49" s="75" t="s">
        <v>160</v>
      </c>
      <c r="D49" s="75" t="s">
        <v>163</v>
      </c>
      <c r="E49" s="65" t="s">
        <v>166</v>
      </c>
      <c r="F49" s="75">
        <f t="shared" ref="F49:F75" si="14">IF(F12="","",F12)</f>
        <v>51</v>
      </c>
      <c r="G49" s="248" t="str">
        <f t="shared" ref="G49:G112" si="15">IF(F49="","",CONCATENATE(C49,"_",D49,"_",E49))</f>
        <v>A1_B1_C1</v>
      </c>
      <c r="H49" s="32"/>
      <c r="I49" s="33"/>
      <c r="J49" s="25"/>
      <c r="K49" s="25"/>
    </row>
    <row r="50" spans="1:13" ht="13.8">
      <c r="A50" s="126"/>
      <c r="B50" s="76" t="s">
        <v>21</v>
      </c>
      <c r="C50" s="76" t="s">
        <v>160</v>
      </c>
      <c r="D50" s="76" t="s">
        <v>163</v>
      </c>
      <c r="E50" s="65" t="s">
        <v>167</v>
      </c>
      <c r="F50" s="76">
        <f t="shared" si="14"/>
        <v>73</v>
      </c>
      <c r="G50" s="249" t="str">
        <f t="shared" si="15"/>
        <v>A1_B1_C2</v>
      </c>
      <c r="H50" s="32"/>
      <c r="I50" s="33"/>
      <c r="J50" s="25"/>
      <c r="K50" s="25"/>
    </row>
    <row r="51" spans="1:13" ht="13.8">
      <c r="A51" s="126"/>
      <c r="B51" s="76" t="s">
        <v>21</v>
      </c>
      <c r="C51" s="76" t="s">
        <v>160</v>
      </c>
      <c r="D51" s="76" t="s">
        <v>163</v>
      </c>
      <c r="E51" s="65" t="s">
        <v>175</v>
      </c>
      <c r="F51" s="76">
        <f t="shared" si="14"/>
        <v>74</v>
      </c>
      <c r="G51" s="249" t="str">
        <f t="shared" si="15"/>
        <v>A1_B1_C3</v>
      </c>
      <c r="H51" s="32"/>
      <c r="I51" s="33"/>
      <c r="J51" s="25"/>
      <c r="K51" s="25"/>
    </row>
    <row r="52" spans="1:13" ht="13.8">
      <c r="A52" s="126"/>
      <c r="B52" s="76" t="s">
        <v>21</v>
      </c>
      <c r="C52" s="76" t="s">
        <v>160</v>
      </c>
      <c r="D52" s="76" t="s">
        <v>164</v>
      </c>
      <c r="E52" s="65" t="s">
        <v>166</v>
      </c>
      <c r="F52" s="76">
        <f t="shared" si="14"/>
        <v>75</v>
      </c>
      <c r="G52" s="249" t="str">
        <f t="shared" si="15"/>
        <v>A1_B2_C1</v>
      </c>
      <c r="H52" s="32"/>
      <c r="I52" s="33"/>
      <c r="J52" s="25"/>
      <c r="K52" s="25"/>
    </row>
    <row r="53" spans="1:13" ht="13.8">
      <c r="A53" s="126"/>
      <c r="B53" s="76" t="s">
        <v>21</v>
      </c>
      <c r="C53" s="76" t="s">
        <v>160</v>
      </c>
      <c r="D53" s="76" t="s">
        <v>164</v>
      </c>
      <c r="E53" s="65" t="s">
        <v>167</v>
      </c>
      <c r="F53" s="76">
        <f t="shared" si="14"/>
        <v>66</v>
      </c>
      <c r="G53" s="249" t="str">
        <f t="shared" si="15"/>
        <v>A1_B2_C2</v>
      </c>
      <c r="H53" s="32"/>
      <c r="I53" s="33"/>
      <c r="J53" s="25"/>
      <c r="K53" s="25"/>
    </row>
    <row r="54" spans="1:13" ht="13.8">
      <c r="A54" s="126"/>
      <c r="B54" s="76" t="s">
        <v>21</v>
      </c>
      <c r="C54" s="76" t="s">
        <v>160</v>
      </c>
      <c r="D54" s="76" t="s">
        <v>164</v>
      </c>
      <c r="E54" s="65" t="s">
        <v>175</v>
      </c>
      <c r="F54" s="76">
        <f t="shared" si="14"/>
        <v>77</v>
      </c>
      <c r="G54" s="249" t="str">
        <f t="shared" si="15"/>
        <v>A1_B2_C3</v>
      </c>
      <c r="H54" s="32"/>
      <c r="I54" s="33"/>
      <c r="J54" s="25"/>
      <c r="K54" s="25"/>
      <c r="L54" s="14"/>
      <c r="M54" s="14"/>
    </row>
    <row r="55" spans="1:13" ht="13.8">
      <c r="A55" s="126"/>
      <c r="B55" s="76" t="s">
        <v>21</v>
      </c>
      <c r="C55" s="76" t="s">
        <v>160</v>
      </c>
      <c r="D55" s="76" t="s">
        <v>165</v>
      </c>
      <c r="E55" s="65" t="s">
        <v>166</v>
      </c>
      <c r="F55" s="76">
        <f t="shared" si="14"/>
        <v>40.5</v>
      </c>
      <c r="G55" s="249" t="str">
        <f t="shared" si="15"/>
        <v>A1_B3_C1</v>
      </c>
      <c r="H55" s="32"/>
      <c r="I55" s="33"/>
      <c r="J55" s="25"/>
      <c r="K55" s="25"/>
      <c r="L55" s="14"/>
      <c r="M55" s="14"/>
    </row>
    <row r="56" spans="1:13" ht="13.8">
      <c r="A56" s="126"/>
      <c r="B56" s="76" t="s">
        <v>21</v>
      </c>
      <c r="C56" s="76" t="s">
        <v>160</v>
      </c>
      <c r="D56" s="76" t="s">
        <v>165</v>
      </c>
      <c r="E56" s="65" t="s">
        <v>167</v>
      </c>
      <c r="F56" s="76">
        <f t="shared" si="14"/>
        <v>44.1</v>
      </c>
      <c r="G56" s="249" t="str">
        <f t="shared" si="15"/>
        <v>A1_B3_C2</v>
      </c>
      <c r="H56" s="32"/>
      <c r="I56" s="33"/>
      <c r="J56" s="25"/>
      <c r="K56" s="25"/>
      <c r="L56" s="14"/>
      <c r="M56" s="14"/>
    </row>
    <row r="57" spans="1:13" ht="13.8">
      <c r="A57" s="31"/>
      <c r="B57" s="76" t="s">
        <v>21</v>
      </c>
      <c r="C57" s="76" t="s">
        <v>160</v>
      </c>
      <c r="D57" s="76" t="s">
        <v>165</v>
      </c>
      <c r="E57" s="65" t="s">
        <v>175</v>
      </c>
      <c r="F57" s="76">
        <f t="shared" si="14"/>
        <v>45.4</v>
      </c>
      <c r="G57" s="249" t="str">
        <f t="shared" si="15"/>
        <v>A1_B3_C3</v>
      </c>
      <c r="H57" s="28"/>
      <c r="I57" s="25"/>
      <c r="J57" s="25"/>
      <c r="K57" s="25"/>
      <c r="L57" s="14"/>
      <c r="M57" s="14"/>
    </row>
    <row r="58" spans="1:13">
      <c r="A58" s="25"/>
      <c r="B58" s="77" t="s">
        <v>21</v>
      </c>
      <c r="C58" s="77" t="s">
        <v>161</v>
      </c>
      <c r="D58" s="77" t="s">
        <v>163</v>
      </c>
      <c r="E58" s="65" t="s">
        <v>166</v>
      </c>
      <c r="F58" s="76">
        <f t="shared" si="14"/>
        <v>52.9</v>
      </c>
      <c r="G58" s="249" t="str">
        <f t="shared" si="15"/>
        <v>A2_B1_C1</v>
      </c>
      <c r="H58" s="25"/>
      <c r="I58" s="25"/>
      <c r="J58" s="25"/>
      <c r="K58" s="25"/>
    </row>
    <row r="59" spans="1:13" ht="15.6">
      <c r="A59" s="133"/>
      <c r="B59" s="77" t="s">
        <v>21</v>
      </c>
      <c r="C59" s="77" t="s">
        <v>161</v>
      </c>
      <c r="D59" s="77" t="s">
        <v>163</v>
      </c>
      <c r="E59" s="65" t="s">
        <v>167</v>
      </c>
      <c r="F59" s="76">
        <f t="shared" si="14"/>
        <v>72</v>
      </c>
      <c r="G59" s="249" t="str">
        <f t="shared" si="15"/>
        <v>A2_B1_C2</v>
      </c>
      <c r="H59" s="25"/>
      <c r="I59" s="25"/>
      <c r="J59" s="25"/>
      <c r="K59" s="25"/>
    </row>
    <row r="60" spans="1:13" ht="15.6">
      <c r="A60" s="135"/>
      <c r="B60" s="78" t="s">
        <v>21</v>
      </c>
      <c r="C60" s="78" t="s">
        <v>161</v>
      </c>
      <c r="D60" s="78" t="s">
        <v>163</v>
      </c>
      <c r="E60" s="71" t="s">
        <v>175</v>
      </c>
      <c r="F60" s="76">
        <f t="shared" si="14"/>
        <v>73</v>
      </c>
      <c r="G60" s="249" t="str">
        <f t="shared" si="15"/>
        <v>A2_B1_C3</v>
      </c>
      <c r="H60" s="136"/>
      <c r="I60" s="25"/>
      <c r="J60" s="25"/>
      <c r="K60" s="25"/>
    </row>
    <row r="61" spans="1:13">
      <c r="A61" s="59"/>
      <c r="B61" s="79" t="s">
        <v>21</v>
      </c>
      <c r="C61" s="79" t="s">
        <v>161</v>
      </c>
      <c r="D61" s="82" t="s">
        <v>164</v>
      </c>
      <c r="E61" s="68" t="s">
        <v>166</v>
      </c>
      <c r="F61" s="76">
        <f t="shared" si="14"/>
        <v>74</v>
      </c>
      <c r="G61" s="249" t="str">
        <f t="shared" si="15"/>
        <v>A2_B2_C1</v>
      </c>
      <c r="H61" s="137"/>
      <c r="I61" s="25"/>
      <c r="J61" s="25"/>
      <c r="K61" s="25"/>
    </row>
    <row r="62" spans="1:13">
      <c r="A62" s="59"/>
      <c r="B62" s="79" t="s">
        <v>21</v>
      </c>
      <c r="C62" s="79" t="s">
        <v>161</v>
      </c>
      <c r="D62" s="82" t="s">
        <v>164</v>
      </c>
      <c r="E62" s="68" t="s">
        <v>167</v>
      </c>
      <c r="F62" s="76">
        <f t="shared" si="14"/>
        <v>75</v>
      </c>
      <c r="G62" s="249" t="str">
        <f t="shared" si="15"/>
        <v>A2_B2_C2</v>
      </c>
      <c r="H62" s="137"/>
      <c r="I62" s="25"/>
      <c r="J62" s="25"/>
      <c r="K62" s="25"/>
    </row>
    <row r="63" spans="1:13">
      <c r="A63" s="59"/>
      <c r="B63" s="79" t="s">
        <v>21</v>
      </c>
      <c r="C63" s="79" t="s">
        <v>161</v>
      </c>
      <c r="D63" s="82" t="s">
        <v>164</v>
      </c>
      <c r="E63" s="68" t="s">
        <v>175</v>
      </c>
      <c r="F63" s="76">
        <f t="shared" si="14"/>
        <v>76</v>
      </c>
      <c r="G63" s="249" t="str">
        <f t="shared" si="15"/>
        <v>A2_B2_C3</v>
      </c>
      <c r="H63" s="137"/>
      <c r="I63" s="25"/>
      <c r="J63" s="25"/>
      <c r="K63" s="25"/>
    </row>
    <row r="64" spans="1:13" ht="13.8">
      <c r="A64" s="138"/>
      <c r="B64" s="79" t="s">
        <v>21</v>
      </c>
      <c r="C64" s="79" t="s">
        <v>161</v>
      </c>
      <c r="D64" s="82" t="s">
        <v>165</v>
      </c>
      <c r="E64" s="68" t="s">
        <v>166</v>
      </c>
      <c r="F64" s="76">
        <f t="shared" si="14"/>
        <v>77</v>
      </c>
      <c r="G64" s="249" t="str">
        <f t="shared" si="15"/>
        <v>A2_B3_C1</v>
      </c>
      <c r="H64" s="139"/>
      <c r="I64" s="25"/>
      <c r="J64" s="25"/>
      <c r="K64" s="25"/>
    </row>
    <row r="65" spans="1:11" ht="13.8">
      <c r="A65" s="138"/>
      <c r="B65" s="79" t="s">
        <v>21</v>
      </c>
      <c r="C65" s="79" t="s">
        <v>161</v>
      </c>
      <c r="D65" s="82" t="s">
        <v>165</v>
      </c>
      <c r="E65" s="68" t="s">
        <v>167</v>
      </c>
      <c r="F65" s="76">
        <f t="shared" si="14"/>
        <v>70.8</v>
      </c>
      <c r="G65" s="249" t="str">
        <f t="shared" si="15"/>
        <v>A2_B3_C2</v>
      </c>
      <c r="H65" s="139"/>
      <c r="I65" s="25"/>
      <c r="J65" s="25"/>
      <c r="K65" s="25"/>
    </row>
    <row r="66" spans="1:11" ht="13.8">
      <c r="A66" s="138"/>
      <c r="B66" s="79" t="s">
        <v>21</v>
      </c>
      <c r="C66" s="79" t="s">
        <v>161</v>
      </c>
      <c r="D66" s="82" t="s">
        <v>165</v>
      </c>
      <c r="E66" s="68" t="s">
        <v>175</v>
      </c>
      <c r="F66" s="76">
        <f t="shared" si="14"/>
        <v>68</v>
      </c>
      <c r="G66" s="249" t="str">
        <f t="shared" si="15"/>
        <v>A2_B3_C3</v>
      </c>
      <c r="H66" s="139"/>
      <c r="I66" s="25"/>
      <c r="J66" s="25"/>
      <c r="K66" s="25"/>
    </row>
    <row r="67" spans="1:11">
      <c r="A67" s="61"/>
      <c r="B67" s="79" t="s">
        <v>21</v>
      </c>
      <c r="C67" s="79" t="s">
        <v>162</v>
      </c>
      <c r="D67" s="82" t="s">
        <v>163</v>
      </c>
      <c r="E67" s="68" t="s">
        <v>166</v>
      </c>
      <c r="F67" s="76">
        <f t="shared" si="14"/>
        <v>69</v>
      </c>
      <c r="G67" s="249" t="str">
        <f t="shared" si="15"/>
        <v>A3_B1_C1</v>
      </c>
      <c r="H67" s="25"/>
      <c r="I67" s="25"/>
      <c r="J67" s="25"/>
      <c r="K67" s="25"/>
    </row>
    <row r="68" spans="1:11">
      <c r="A68" s="61"/>
      <c r="B68" s="79" t="s">
        <v>21</v>
      </c>
      <c r="C68" s="79" t="s">
        <v>162</v>
      </c>
      <c r="D68" s="82" t="s">
        <v>163</v>
      </c>
      <c r="E68" s="68" t="s">
        <v>167</v>
      </c>
      <c r="F68" s="76">
        <f t="shared" si="14"/>
        <v>70</v>
      </c>
      <c r="G68" s="249" t="str">
        <f t="shared" si="15"/>
        <v>A3_B1_C2</v>
      </c>
      <c r="H68" s="25"/>
      <c r="I68" s="25"/>
      <c r="J68" s="25"/>
      <c r="K68" s="25"/>
    </row>
    <row r="69" spans="1:11">
      <c r="A69" s="25"/>
      <c r="B69" s="77" t="s">
        <v>21</v>
      </c>
      <c r="C69" s="77" t="s">
        <v>162</v>
      </c>
      <c r="D69" s="77" t="s">
        <v>163</v>
      </c>
      <c r="E69" s="65" t="s">
        <v>175</v>
      </c>
      <c r="F69" s="76">
        <f t="shared" si="14"/>
        <v>71</v>
      </c>
      <c r="G69" s="249" t="str">
        <f t="shared" si="15"/>
        <v>A3_B1_C3</v>
      </c>
      <c r="H69" s="25"/>
      <c r="I69" s="25"/>
      <c r="J69" s="25"/>
      <c r="K69" s="25"/>
    </row>
    <row r="70" spans="1:11">
      <c r="A70" s="25"/>
      <c r="B70" s="77" t="s">
        <v>21</v>
      </c>
      <c r="C70" s="77" t="s">
        <v>162</v>
      </c>
      <c r="D70" s="77" t="s">
        <v>164</v>
      </c>
      <c r="E70" s="65" t="s">
        <v>166</v>
      </c>
      <c r="F70" s="76">
        <f t="shared" si="14"/>
        <v>72</v>
      </c>
      <c r="G70" s="249" t="str">
        <f t="shared" si="15"/>
        <v>A3_B2_C1</v>
      </c>
      <c r="H70" s="25"/>
      <c r="I70" s="25"/>
      <c r="J70" s="25"/>
      <c r="K70" s="25"/>
    </row>
    <row r="71" spans="1:11">
      <c r="A71" s="25"/>
      <c r="B71" s="77" t="s">
        <v>21</v>
      </c>
      <c r="C71" s="77" t="s">
        <v>162</v>
      </c>
      <c r="D71" s="77" t="s">
        <v>164</v>
      </c>
      <c r="E71" s="65" t="s">
        <v>167</v>
      </c>
      <c r="F71" s="76">
        <f t="shared" si="14"/>
        <v>67</v>
      </c>
      <c r="G71" s="249" t="str">
        <f t="shared" si="15"/>
        <v>A3_B2_C2</v>
      </c>
      <c r="H71" s="25"/>
      <c r="I71" s="25"/>
      <c r="J71" s="25"/>
      <c r="K71" s="25"/>
    </row>
    <row r="72" spans="1:11">
      <c r="A72" s="25"/>
      <c r="B72" s="77" t="s">
        <v>21</v>
      </c>
      <c r="C72" s="77" t="s">
        <v>162</v>
      </c>
      <c r="D72" s="77" t="s">
        <v>164</v>
      </c>
      <c r="E72" s="65" t="s">
        <v>175</v>
      </c>
      <c r="F72" s="76">
        <f t="shared" si="14"/>
        <v>74</v>
      </c>
      <c r="G72" s="249" t="str">
        <f t="shared" si="15"/>
        <v>A3_B2_C3</v>
      </c>
      <c r="H72" s="25"/>
      <c r="I72" s="25"/>
      <c r="J72" s="25"/>
      <c r="K72" s="25"/>
    </row>
    <row r="73" spans="1:11">
      <c r="A73" s="25"/>
      <c r="B73" s="77" t="s">
        <v>21</v>
      </c>
      <c r="C73" s="77" t="s">
        <v>162</v>
      </c>
      <c r="D73" s="77" t="s">
        <v>165</v>
      </c>
      <c r="E73" s="65" t="s">
        <v>166</v>
      </c>
      <c r="F73" s="76">
        <f t="shared" si="14"/>
        <v>75</v>
      </c>
      <c r="G73" s="249" t="str">
        <f t="shared" si="15"/>
        <v>A3_B3_C1</v>
      </c>
      <c r="H73" s="25"/>
      <c r="I73" s="25"/>
      <c r="J73" s="25"/>
      <c r="K73" s="25"/>
    </row>
    <row r="74" spans="1:11">
      <c r="B74" s="77" t="s">
        <v>21</v>
      </c>
      <c r="C74" s="77" t="s">
        <v>162</v>
      </c>
      <c r="D74" s="77" t="s">
        <v>165</v>
      </c>
      <c r="E74" s="70" t="s">
        <v>167</v>
      </c>
      <c r="F74" s="76">
        <f t="shared" si="14"/>
        <v>76</v>
      </c>
      <c r="G74" s="249" t="str">
        <f t="shared" si="15"/>
        <v>A3_B3_C2</v>
      </c>
    </row>
    <row r="75" spans="1:11">
      <c r="B75" s="81" t="s">
        <v>21</v>
      </c>
      <c r="C75" s="81" t="s">
        <v>162</v>
      </c>
      <c r="D75" s="81" t="s">
        <v>165</v>
      </c>
      <c r="E75" s="72" t="s">
        <v>175</v>
      </c>
      <c r="F75" s="118">
        <f t="shared" si="14"/>
        <v>77</v>
      </c>
      <c r="G75" s="250" t="str">
        <f t="shared" si="15"/>
        <v>A3_B3_C3</v>
      </c>
    </row>
    <row r="76" spans="1:11">
      <c r="B76" s="75" t="s">
        <v>22</v>
      </c>
      <c r="C76" s="76" t="s">
        <v>160</v>
      </c>
      <c r="D76" s="76" t="s">
        <v>163</v>
      </c>
      <c r="E76" s="65" t="s">
        <v>166</v>
      </c>
      <c r="F76" s="76">
        <f t="shared" ref="F76:F102" si="16">IF(G12="","",G12)</f>
        <v>53</v>
      </c>
      <c r="G76" s="248" t="str">
        <f t="shared" si="15"/>
        <v>A1_B1_C1</v>
      </c>
    </row>
    <row r="77" spans="1:11">
      <c r="B77" s="76" t="s">
        <v>22</v>
      </c>
      <c r="C77" s="76" t="s">
        <v>160</v>
      </c>
      <c r="D77" s="76" t="s">
        <v>163</v>
      </c>
      <c r="E77" s="65" t="s">
        <v>167</v>
      </c>
      <c r="F77" s="76">
        <f t="shared" si="16"/>
        <v>78</v>
      </c>
      <c r="G77" s="249" t="str">
        <f t="shared" si="15"/>
        <v>A1_B1_C2</v>
      </c>
    </row>
    <row r="78" spans="1:11">
      <c r="B78" s="76" t="s">
        <v>22</v>
      </c>
      <c r="C78" s="76" t="s">
        <v>160</v>
      </c>
      <c r="D78" s="76" t="s">
        <v>163</v>
      </c>
      <c r="E78" s="65" t="s">
        <v>175</v>
      </c>
      <c r="F78" s="76">
        <f t="shared" si="16"/>
        <v>77</v>
      </c>
      <c r="G78" s="249" t="str">
        <f t="shared" si="15"/>
        <v>A1_B1_C3</v>
      </c>
    </row>
    <row r="79" spans="1:11">
      <c r="B79" s="76" t="s">
        <v>22</v>
      </c>
      <c r="C79" s="76" t="s">
        <v>160</v>
      </c>
      <c r="D79" s="76" t="s">
        <v>164</v>
      </c>
      <c r="E79" s="65" t="s">
        <v>166</v>
      </c>
      <c r="F79" s="76">
        <f t="shared" si="16"/>
        <v>80</v>
      </c>
      <c r="G79" s="249" t="str">
        <f t="shared" si="15"/>
        <v>A1_B2_C1</v>
      </c>
    </row>
    <row r="80" spans="1:11">
      <c r="B80" s="76" t="s">
        <v>22</v>
      </c>
      <c r="C80" s="76" t="s">
        <v>160</v>
      </c>
      <c r="D80" s="76" t="s">
        <v>164</v>
      </c>
      <c r="E80" s="65" t="s">
        <v>167</v>
      </c>
      <c r="F80" s="76">
        <f t="shared" si="16"/>
        <v>73</v>
      </c>
      <c r="G80" s="249" t="str">
        <f t="shared" si="15"/>
        <v>A1_B2_C2</v>
      </c>
    </row>
    <row r="81" spans="2:7">
      <c r="B81" s="76" t="s">
        <v>22</v>
      </c>
      <c r="C81" s="76" t="s">
        <v>160</v>
      </c>
      <c r="D81" s="76" t="s">
        <v>164</v>
      </c>
      <c r="E81" s="65" t="s">
        <v>175</v>
      </c>
      <c r="F81" s="76">
        <f t="shared" si="16"/>
        <v>83</v>
      </c>
      <c r="G81" s="249" t="str">
        <f t="shared" si="15"/>
        <v>A1_B2_C3</v>
      </c>
    </row>
    <row r="82" spans="2:7">
      <c r="B82" s="76" t="s">
        <v>22</v>
      </c>
      <c r="C82" s="76" t="s">
        <v>160</v>
      </c>
      <c r="D82" s="76" t="s">
        <v>165</v>
      </c>
      <c r="E82" s="65" t="s">
        <v>166</v>
      </c>
      <c r="F82" s="76">
        <f t="shared" si="16"/>
        <v>44.5</v>
      </c>
      <c r="G82" s="249" t="str">
        <f t="shared" si="15"/>
        <v>A1_B3_C1</v>
      </c>
    </row>
    <row r="83" spans="2:7">
      <c r="B83" s="76" t="s">
        <v>22</v>
      </c>
      <c r="C83" s="76" t="s">
        <v>160</v>
      </c>
      <c r="D83" s="76" t="s">
        <v>165</v>
      </c>
      <c r="E83" s="65" t="s">
        <v>167</v>
      </c>
      <c r="F83" s="76">
        <f t="shared" si="16"/>
        <v>47.1</v>
      </c>
      <c r="G83" s="249" t="str">
        <f t="shared" si="15"/>
        <v>A1_B3_C2</v>
      </c>
    </row>
    <row r="84" spans="2:7">
      <c r="B84" s="76" t="s">
        <v>22</v>
      </c>
      <c r="C84" s="76" t="s">
        <v>160</v>
      </c>
      <c r="D84" s="76" t="s">
        <v>165</v>
      </c>
      <c r="E84" s="65" t="s">
        <v>175</v>
      </c>
      <c r="F84" s="76">
        <f t="shared" si="16"/>
        <v>49.4</v>
      </c>
      <c r="G84" s="249" t="str">
        <f t="shared" si="15"/>
        <v>A1_B3_C3</v>
      </c>
    </row>
    <row r="85" spans="2:7">
      <c r="B85" s="77" t="s">
        <v>22</v>
      </c>
      <c r="C85" s="77" t="s">
        <v>161</v>
      </c>
      <c r="D85" s="77" t="s">
        <v>163</v>
      </c>
      <c r="E85" s="65" t="s">
        <v>166</v>
      </c>
      <c r="F85" s="76">
        <f t="shared" si="16"/>
        <v>53.9</v>
      </c>
      <c r="G85" s="249" t="str">
        <f t="shared" si="15"/>
        <v>A2_B1_C1</v>
      </c>
    </row>
    <row r="86" spans="2:7">
      <c r="B86" s="77" t="s">
        <v>22</v>
      </c>
      <c r="C86" s="77" t="s">
        <v>161</v>
      </c>
      <c r="D86" s="77" t="s">
        <v>163</v>
      </c>
      <c r="E86" s="65" t="s">
        <v>167</v>
      </c>
      <c r="F86" s="76">
        <f t="shared" si="16"/>
        <v>71</v>
      </c>
      <c r="G86" s="249" t="str">
        <f t="shared" si="15"/>
        <v>A2_B1_C2</v>
      </c>
    </row>
    <row r="87" spans="2:7">
      <c r="B87" s="78" t="s">
        <v>22</v>
      </c>
      <c r="C87" s="78" t="s">
        <v>161</v>
      </c>
      <c r="D87" s="78" t="s">
        <v>163</v>
      </c>
      <c r="E87" s="71" t="s">
        <v>175</v>
      </c>
      <c r="F87" s="76">
        <f t="shared" si="16"/>
        <v>68</v>
      </c>
      <c r="G87" s="249" t="str">
        <f t="shared" si="15"/>
        <v>A2_B1_C3</v>
      </c>
    </row>
    <row r="88" spans="2:7">
      <c r="B88" s="79" t="s">
        <v>22</v>
      </c>
      <c r="C88" s="79" t="s">
        <v>161</v>
      </c>
      <c r="D88" s="82" t="s">
        <v>164</v>
      </c>
      <c r="E88" s="68" t="s">
        <v>166</v>
      </c>
      <c r="F88" s="76">
        <f t="shared" si="16"/>
        <v>78</v>
      </c>
      <c r="G88" s="249" t="str">
        <f t="shared" si="15"/>
        <v>A2_B2_C1</v>
      </c>
    </row>
    <row r="89" spans="2:7">
      <c r="B89" s="79" t="s">
        <v>22</v>
      </c>
      <c r="C89" s="79" t="s">
        <v>161</v>
      </c>
      <c r="D89" s="82" t="s">
        <v>164</v>
      </c>
      <c r="E89" s="68" t="s">
        <v>167</v>
      </c>
      <c r="F89" s="76">
        <f t="shared" si="16"/>
        <v>68</v>
      </c>
      <c r="G89" s="249" t="str">
        <f t="shared" si="15"/>
        <v>A2_B2_C2</v>
      </c>
    </row>
    <row r="90" spans="2:7">
      <c r="B90" s="79" t="s">
        <v>22</v>
      </c>
      <c r="C90" s="79" t="s">
        <v>161</v>
      </c>
      <c r="D90" s="82" t="s">
        <v>164</v>
      </c>
      <c r="E90" s="68" t="s">
        <v>175</v>
      </c>
      <c r="F90" s="76">
        <f t="shared" si="16"/>
        <v>73</v>
      </c>
      <c r="G90" s="249" t="str">
        <f t="shared" si="15"/>
        <v>A2_B2_C3</v>
      </c>
    </row>
    <row r="91" spans="2:7">
      <c r="B91" s="79" t="s">
        <v>22</v>
      </c>
      <c r="C91" s="79" t="s">
        <v>161</v>
      </c>
      <c r="D91" s="82" t="s">
        <v>165</v>
      </c>
      <c r="E91" s="68" t="s">
        <v>166</v>
      </c>
      <c r="F91" s="76">
        <f t="shared" si="16"/>
        <v>82</v>
      </c>
      <c r="G91" s="249" t="str">
        <f t="shared" si="15"/>
        <v>A2_B3_C1</v>
      </c>
    </row>
    <row r="92" spans="2:7">
      <c r="B92" s="79" t="s">
        <v>22</v>
      </c>
      <c r="C92" s="79" t="s">
        <v>161</v>
      </c>
      <c r="D92" s="82" t="s">
        <v>165</v>
      </c>
      <c r="E92" s="68" t="s">
        <v>167</v>
      </c>
      <c r="F92" s="76">
        <f t="shared" si="16"/>
        <v>63.8</v>
      </c>
      <c r="G92" s="249" t="str">
        <f t="shared" si="15"/>
        <v>A2_B3_C2</v>
      </c>
    </row>
    <row r="93" spans="2:7">
      <c r="B93" s="79" t="s">
        <v>22</v>
      </c>
      <c r="C93" s="79" t="s">
        <v>161</v>
      </c>
      <c r="D93" s="82" t="s">
        <v>165</v>
      </c>
      <c r="E93" s="68" t="s">
        <v>175</v>
      </c>
      <c r="F93" s="76">
        <f t="shared" si="16"/>
        <v>66</v>
      </c>
      <c r="G93" s="249" t="str">
        <f t="shared" si="15"/>
        <v>A2_B3_C3</v>
      </c>
    </row>
    <row r="94" spans="2:7">
      <c r="B94" s="79" t="s">
        <v>22</v>
      </c>
      <c r="C94" s="79" t="s">
        <v>162</v>
      </c>
      <c r="D94" s="82" t="s">
        <v>163</v>
      </c>
      <c r="E94" s="68" t="s">
        <v>166</v>
      </c>
      <c r="F94" s="76">
        <f t="shared" si="16"/>
        <v>65</v>
      </c>
      <c r="G94" s="249" t="str">
        <f t="shared" si="15"/>
        <v>A3_B1_C1</v>
      </c>
    </row>
    <row r="95" spans="2:7">
      <c r="B95" s="79" t="s">
        <v>22</v>
      </c>
      <c r="C95" s="79" t="s">
        <v>162</v>
      </c>
      <c r="D95" s="82" t="s">
        <v>163</v>
      </c>
      <c r="E95" s="68" t="s">
        <v>167</v>
      </c>
      <c r="F95" s="76">
        <f t="shared" si="16"/>
        <v>76</v>
      </c>
      <c r="G95" s="249" t="str">
        <f t="shared" si="15"/>
        <v>A3_B1_C2</v>
      </c>
    </row>
    <row r="96" spans="2:7">
      <c r="B96" s="77" t="s">
        <v>22</v>
      </c>
      <c r="C96" s="77" t="s">
        <v>162</v>
      </c>
      <c r="D96" s="77" t="s">
        <v>163</v>
      </c>
      <c r="E96" s="65" t="s">
        <v>175</v>
      </c>
      <c r="F96" s="76">
        <f t="shared" si="16"/>
        <v>74</v>
      </c>
      <c r="G96" s="249" t="str">
        <f t="shared" si="15"/>
        <v>A3_B1_C3</v>
      </c>
    </row>
    <row r="97" spans="2:7">
      <c r="B97" s="77" t="s">
        <v>22</v>
      </c>
      <c r="C97" s="77" t="s">
        <v>162</v>
      </c>
      <c r="D97" s="77" t="s">
        <v>164</v>
      </c>
      <c r="E97" s="65" t="s">
        <v>166</v>
      </c>
      <c r="F97" s="76">
        <f t="shared" si="16"/>
        <v>74</v>
      </c>
      <c r="G97" s="249" t="str">
        <f t="shared" si="15"/>
        <v>A3_B2_C1</v>
      </c>
    </row>
    <row r="98" spans="2:7">
      <c r="B98" s="77" t="s">
        <v>22</v>
      </c>
      <c r="C98" s="77" t="s">
        <v>162</v>
      </c>
      <c r="D98" s="77" t="s">
        <v>164</v>
      </c>
      <c r="E98" s="65" t="s">
        <v>167</v>
      </c>
      <c r="F98" s="76">
        <f t="shared" si="16"/>
        <v>69</v>
      </c>
      <c r="G98" s="249" t="str">
        <f t="shared" si="15"/>
        <v>A3_B2_C2</v>
      </c>
    </row>
    <row r="99" spans="2:7">
      <c r="B99" s="77" t="s">
        <v>22</v>
      </c>
      <c r="C99" s="77" t="s">
        <v>162</v>
      </c>
      <c r="D99" s="77" t="s">
        <v>164</v>
      </c>
      <c r="E99" s="65" t="s">
        <v>175</v>
      </c>
      <c r="F99" s="76">
        <f t="shared" si="16"/>
        <v>78</v>
      </c>
      <c r="G99" s="249" t="str">
        <f t="shared" si="15"/>
        <v>A3_B2_C3</v>
      </c>
    </row>
    <row r="100" spans="2:7">
      <c r="B100" s="77" t="s">
        <v>22</v>
      </c>
      <c r="C100" s="77" t="s">
        <v>162</v>
      </c>
      <c r="D100" s="77" t="s">
        <v>165</v>
      </c>
      <c r="E100" s="65" t="s">
        <v>166</v>
      </c>
      <c r="F100" s="76">
        <f t="shared" si="16"/>
        <v>70</v>
      </c>
      <c r="G100" s="249" t="str">
        <f t="shared" si="15"/>
        <v>A3_B3_C1</v>
      </c>
    </row>
    <row r="101" spans="2:7">
      <c r="B101" s="77" t="s">
        <v>22</v>
      </c>
      <c r="C101" s="77" t="s">
        <v>162</v>
      </c>
      <c r="D101" s="77" t="s">
        <v>165</v>
      </c>
      <c r="E101" s="70" t="s">
        <v>167</v>
      </c>
      <c r="F101" s="76">
        <f t="shared" si="16"/>
        <v>73</v>
      </c>
      <c r="G101" s="249" t="str">
        <f t="shared" si="15"/>
        <v>A3_B3_C2</v>
      </c>
    </row>
    <row r="102" spans="2:7">
      <c r="B102" s="81" t="s">
        <v>22</v>
      </c>
      <c r="C102" s="81" t="s">
        <v>162</v>
      </c>
      <c r="D102" s="81" t="s">
        <v>165</v>
      </c>
      <c r="E102" s="72" t="s">
        <v>175</v>
      </c>
      <c r="F102" s="118">
        <f t="shared" si="16"/>
        <v>74</v>
      </c>
      <c r="G102" s="250" t="str">
        <f t="shared" si="15"/>
        <v>A3_B3_C3</v>
      </c>
    </row>
    <row r="103" spans="2:7">
      <c r="B103" s="75" t="s">
        <v>23</v>
      </c>
      <c r="C103" s="76" t="s">
        <v>160</v>
      </c>
      <c r="D103" s="76" t="s">
        <v>163</v>
      </c>
      <c r="E103" s="65" t="s">
        <v>166</v>
      </c>
      <c r="F103" s="76" t="str">
        <f t="shared" ref="F103:F129" si="17">IF(H12="","",H12)</f>
        <v/>
      </c>
      <c r="G103" s="248" t="str">
        <f t="shared" si="15"/>
        <v/>
      </c>
    </row>
    <row r="104" spans="2:7">
      <c r="B104" s="76" t="s">
        <v>23</v>
      </c>
      <c r="C104" s="76" t="s">
        <v>160</v>
      </c>
      <c r="D104" s="76" t="s">
        <v>163</v>
      </c>
      <c r="E104" s="65" t="s">
        <v>167</v>
      </c>
      <c r="F104" s="76" t="str">
        <f t="shared" si="17"/>
        <v/>
      </c>
      <c r="G104" s="249" t="str">
        <f t="shared" si="15"/>
        <v/>
      </c>
    </row>
    <row r="105" spans="2:7">
      <c r="B105" s="76" t="s">
        <v>23</v>
      </c>
      <c r="C105" s="76" t="s">
        <v>160</v>
      </c>
      <c r="D105" s="76" t="s">
        <v>163</v>
      </c>
      <c r="E105" s="65" t="s">
        <v>175</v>
      </c>
      <c r="F105" s="76" t="str">
        <f t="shared" si="17"/>
        <v/>
      </c>
      <c r="G105" s="249" t="str">
        <f t="shared" si="15"/>
        <v/>
      </c>
    </row>
    <row r="106" spans="2:7">
      <c r="B106" s="76" t="s">
        <v>23</v>
      </c>
      <c r="C106" s="76" t="s">
        <v>160</v>
      </c>
      <c r="D106" s="76" t="s">
        <v>164</v>
      </c>
      <c r="E106" s="65" t="s">
        <v>166</v>
      </c>
      <c r="F106" s="76" t="str">
        <f t="shared" si="17"/>
        <v/>
      </c>
      <c r="G106" s="249" t="str">
        <f t="shared" si="15"/>
        <v/>
      </c>
    </row>
    <row r="107" spans="2:7">
      <c r="B107" s="76" t="s">
        <v>23</v>
      </c>
      <c r="C107" s="76" t="s">
        <v>160</v>
      </c>
      <c r="D107" s="76" t="s">
        <v>164</v>
      </c>
      <c r="E107" s="65" t="s">
        <v>167</v>
      </c>
      <c r="F107" s="76" t="str">
        <f t="shared" si="17"/>
        <v/>
      </c>
      <c r="G107" s="249" t="str">
        <f t="shared" si="15"/>
        <v/>
      </c>
    </row>
    <row r="108" spans="2:7">
      <c r="B108" s="76" t="s">
        <v>23</v>
      </c>
      <c r="C108" s="76" t="s">
        <v>160</v>
      </c>
      <c r="D108" s="76" t="s">
        <v>164</v>
      </c>
      <c r="E108" s="65" t="s">
        <v>175</v>
      </c>
      <c r="F108" s="76" t="str">
        <f t="shared" si="17"/>
        <v/>
      </c>
      <c r="G108" s="249" t="str">
        <f t="shared" si="15"/>
        <v/>
      </c>
    </row>
    <row r="109" spans="2:7">
      <c r="B109" s="76" t="s">
        <v>23</v>
      </c>
      <c r="C109" s="76" t="s">
        <v>160</v>
      </c>
      <c r="D109" s="76" t="s">
        <v>165</v>
      </c>
      <c r="E109" s="65" t="s">
        <v>166</v>
      </c>
      <c r="F109" s="76" t="str">
        <f t="shared" si="17"/>
        <v/>
      </c>
      <c r="G109" s="249" t="str">
        <f t="shared" si="15"/>
        <v/>
      </c>
    </row>
    <row r="110" spans="2:7">
      <c r="B110" s="76" t="s">
        <v>23</v>
      </c>
      <c r="C110" s="76" t="s">
        <v>160</v>
      </c>
      <c r="D110" s="76" t="s">
        <v>165</v>
      </c>
      <c r="E110" s="65" t="s">
        <v>167</v>
      </c>
      <c r="F110" s="76" t="str">
        <f t="shared" si="17"/>
        <v/>
      </c>
      <c r="G110" s="249" t="str">
        <f t="shared" si="15"/>
        <v/>
      </c>
    </row>
    <row r="111" spans="2:7">
      <c r="B111" s="76" t="s">
        <v>23</v>
      </c>
      <c r="C111" s="76" t="s">
        <v>160</v>
      </c>
      <c r="D111" s="76" t="s">
        <v>165</v>
      </c>
      <c r="E111" s="65" t="s">
        <v>175</v>
      </c>
      <c r="F111" s="76" t="str">
        <f t="shared" si="17"/>
        <v/>
      </c>
      <c r="G111" s="249" t="str">
        <f t="shared" si="15"/>
        <v/>
      </c>
    </row>
    <row r="112" spans="2:7">
      <c r="B112" s="77" t="s">
        <v>23</v>
      </c>
      <c r="C112" s="77" t="s">
        <v>161</v>
      </c>
      <c r="D112" s="77" t="s">
        <v>163</v>
      </c>
      <c r="E112" s="65" t="s">
        <v>166</v>
      </c>
      <c r="F112" s="76" t="str">
        <f t="shared" si="17"/>
        <v/>
      </c>
      <c r="G112" s="249" t="str">
        <f t="shared" si="15"/>
        <v/>
      </c>
    </row>
    <row r="113" spans="2:7">
      <c r="B113" s="77" t="s">
        <v>23</v>
      </c>
      <c r="C113" s="77" t="s">
        <v>161</v>
      </c>
      <c r="D113" s="77" t="s">
        <v>163</v>
      </c>
      <c r="E113" s="65" t="s">
        <v>167</v>
      </c>
      <c r="F113" s="76" t="str">
        <f t="shared" si="17"/>
        <v/>
      </c>
      <c r="G113" s="249" t="str">
        <f t="shared" ref="G113:G176" si="18">IF(F113="","",CONCATENATE(C113,"_",D113,"_",E113))</f>
        <v/>
      </c>
    </row>
    <row r="114" spans="2:7">
      <c r="B114" s="78" t="s">
        <v>23</v>
      </c>
      <c r="C114" s="78" t="s">
        <v>161</v>
      </c>
      <c r="D114" s="78" t="s">
        <v>163</v>
      </c>
      <c r="E114" s="71" t="s">
        <v>175</v>
      </c>
      <c r="F114" s="76" t="str">
        <f t="shared" si="17"/>
        <v/>
      </c>
      <c r="G114" s="249" t="str">
        <f t="shared" si="18"/>
        <v/>
      </c>
    </row>
    <row r="115" spans="2:7">
      <c r="B115" s="79" t="s">
        <v>23</v>
      </c>
      <c r="C115" s="79" t="s">
        <v>161</v>
      </c>
      <c r="D115" s="82" t="s">
        <v>164</v>
      </c>
      <c r="E115" s="68" t="s">
        <v>166</v>
      </c>
      <c r="F115" s="76" t="str">
        <f t="shared" si="17"/>
        <v/>
      </c>
      <c r="G115" s="249" t="str">
        <f t="shared" si="18"/>
        <v/>
      </c>
    </row>
    <row r="116" spans="2:7">
      <c r="B116" s="79" t="s">
        <v>23</v>
      </c>
      <c r="C116" s="79" t="s">
        <v>161</v>
      </c>
      <c r="D116" s="82" t="s">
        <v>164</v>
      </c>
      <c r="E116" s="68" t="s">
        <v>167</v>
      </c>
      <c r="F116" s="76" t="str">
        <f t="shared" si="17"/>
        <v/>
      </c>
      <c r="G116" s="249" t="str">
        <f t="shared" si="18"/>
        <v/>
      </c>
    </row>
    <row r="117" spans="2:7">
      <c r="B117" s="79" t="s">
        <v>23</v>
      </c>
      <c r="C117" s="79" t="s">
        <v>161</v>
      </c>
      <c r="D117" s="82" t="s">
        <v>164</v>
      </c>
      <c r="E117" s="68" t="s">
        <v>175</v>
      </c>
      <c r="F117" s="76" t="str">
        <f t="shared" si="17"/>
        <v/>
      </c>
      <c r="G117" s="249" t="str">
        <f t="shared" si="18"/>
        <v/>
      </c>
    </row>
    <row r="118" spans="2:7">
      <c r="B118" s="79" t="s">
        <v>23</v>
      </c>
      <c r="C118" s="79" t="s">
        <v>161</v>
      </c>
      <c r="D118" s="82" t="s">
        <v>165</v>
      </c>
      <c r="E118" s="68" t="s">
        <v>166</v>
      </c>
      <c r="F118" s="76" t="str">
        <f t="shared" si="17"/>
        <v/>
      </c>
      <c r="G118" s="249" t="str">
        <f t="shared" si="18"/>
        <v/>
      </c>
    </row>
    <row r="119" spans="2:7">
      <c r="B119" s="79" t="s">
        <v>23</v>
      </c>
      <c r="C119" s="79" t="s">
        <v>161</v>
      </c>
      <c r="D119" s="82" t="s">
        <v>165</v>
      </c>
      <c r="E119" s="68" t="s">
        <v>167</v>
      </c>
      <c r="F119" s="76" t="str">
        <f t="shared" si="17"/>
        <v/>
      </c>
      <c r="G119" s="249" t="str">
        <f t="shared" si="18"/>
        <v/>
      </c>
    </row>
    <row r="120" spans="2:7">
      <c r="B120" s="79" t="s">
        <v>23</v>
      </c>
      <c r="C120" s="79" t="s">
        <v>161</v>
      </c>
      <c r="D120" s="82" t="s">
        <v>165</v>
      </c>
      <c r="E120" s="68" t="s">
        <v>175</v>
      </c>
      <c r="F120" s="76" t="str">
        <f t="shared" si="17"/>
        <v/>
      </c>
      <c r="G120" s="249" t="str">
        <f t="shared" si="18"/>
        <v/>
      </c>
    </row>
    <row r="121" spans="2:7">
      <c r="B121" s="79" t="s">
        <v>23</v>
      </c>
      <c r="C121" s="79" t="s">
        <v>162</v>
      </c>
      <c r="D121" s="82" t="s">
        <v>163</v>
      </c>
      <c r="E121" s="68" t="s">
        <v>166</v>
      </c>
      <c r="F121" s="76" t="str">
        <f t="shared" si="17"/>
        <v/>
      </c>
      <c r="G121" s="249" t="str">
        <f t="shared" si="18"/>
        <v/>
      </c>
    </row>
    <row r="122" spans="2:7">
      <c r="B122" s="79" t="s">
        <v>23</v>
      </c>
      <c r="C122" s="79" t="s">
        <v>162</v>
      </c>
      <c r="D122" s="82" t="s">
        <v>163</v>
      </c>
      <c r="E122" s="68" t="s">
        <v>167</v>
      </c>
      <c r="F122" s="76" t="str">
        <f t="shared" si="17"/>
        <v/>
      </c>
      <c r="G122" s="249" t="str">
        <f t="shared" si="18"/>
        <v/>
      </c>
    </row>
    <row r="123" spans="2:7">
      <c r="B123" s="77" t="s">
        <v>23</v>
      </c>
      <c r="C123" s="77" t="s">
        <v>162</v>
      </c>
      <c r="D123" s="77" t="s">
        <v>163</v>
      </c>
      <c r="E123" s="65" t="s">
        <v>175</v>
      </c>
      <c r="F123" s="76" t="str">
        <f t="shared" si="17"/>
        <v/>
      </c>
      <c r="G123" s="249" t="str">
        <f t="shared" si="18"/>
        <v/>
      </c>
    </row>
    <row r="124" spans="2:7">
      <c r="B124" s="77" t="s">
        <v>23</v>
      </c>
      <c r="C124" s="77" t="s">
        <v>162</v>
      </c>
      <c r="D124" s="77" t="s">
        <v>164</v>
      </c>
      <c r="E124" s="65" t="s">
        <v>166</v>
      </c>
      <c r="F124" s="76" t="str">
        <f t="shared" si="17"/>
        <v/>
      </c>
      <c r="G124" s="249" t="str">
        <f t="shared" si="18"/>
        <v/>
      </c>
    </row>
    <row r="125" spans="2:7">
      <c r="B125" s="77" t="s">
        <v>23</v>
      </c>
      <c r="C125" s="77" t="s">
        <v>162</v>
      </c>
      <c r="D125" s="77" t="s">
        <v>164</v>
      </c>
      <c r="E125" s="65" t="s">
        <v>167</v>
      </c>
      <c r="F125" s="76" t="str">
        <f t="shared" si="17"/>
        <v/>
      </c>
      <c r="G125" s="249" t="str">
        <f t="shared" si="18"/>
        <v/>
      </c>
    </row>
    <row r="126" spans="2:7">
      <c r="B126" s="77" t="s">
        <v>23</v>
      </c>
      <c r="C126" s="77" t="s">
        <v>162</v>
      </c>
      <c r="D126" s="77" t="s">
        <v>164</v>
      </c>
      <c r="E126" s="65" t="s">
        <v>175</v>
      </c>
      <c r="F126" s="76" t="str">
        <f t="shared" si="17"/>
        <v/>
      </c>
      <c r="G126" s="249" t="str">
        <f t="shared" si="18"/>
        <v/>
      </c>
    </row>
    <row r="127" spans="2:7">
      <c r="B127" s="77" t="s">
        <v>23</v>
      </c>
      <c r="C127" s="77" t="s">
        <v>162</v>
      </c>
      <c r="D127" s="77" t="s">
        <v>165</v>
      </c>
      <c r="E127" s="65" t="s">
        <v>166</v>
      </c>
      <c r="F127" s="76" t="str">
        <f t="shared" si="17"/>
        <v/>
      </c>
      <c r="G127" s="249" t="str">
        <f t="shared" si="18"/>
        <v/>
      </c>
    </row>
    <row r="128" spans="2:7">
      <c r="B128" s="77" t="s">
        <v>23</v>
      </c>
      <c r="C128" s="77" t="s">
        <v>162</v>
      </c>
      <c r="D128" s="77" t="s">
        <v>165</v>
      </c>
      <c r="E128" s="70" t="s">
        <v>167</v>
      </c>
      <c r="F128" s="76" t="str">
        <f t="shared" si="17"/>
        <v/>
      </c>
      <c r="G128" s="249" t="str">
        <f t="shared" si="18"/>
        <v/>
      </c>
    </row>
    <row r="129" spans="2:7">
      <c r="B129" s="81" t="s">
        <v>23</v>
      </c>
      <c r="C129" s="81" t="s">
        <v>162</v>
      </c>
      <c r="D129" s="81" t="s">
        <v>165</v>
      </c>
      <c r="E129" s="72" t="s">
        <v>175</v>
      </c>
      <c r="F129" s="118" t="str">
        <f t="shared" si="17"/>
        <v/>
      </c>
      <c r="G129" s="250" t="str">
        <f t="shared" si="18"/>
        <v/>
      </c>
    </row>
    <row r="130" spans="2:7">
      <c r="B130" s="75" t="s">
        <v>24</v>
      </c>
      <c r="C130" s="76" t="s">
        <v>160</v>
      </c>
      <c r="D130" s="76" t="s">
        <v>163</v>
      </c>
      <c r="E130" s="65" t="s">
        <v>166</v>
      </c>
      <c r="F130" s="76" t="str">
        <f t="shared" ref="F130:F156" si="19">IF(I12="","",I12)</f>
        <v/>
      </c>
      <c r="G130" s="248" t="str">
        <f t="shared" si="18"/>
        <v/>
      </c>
    </row>
    <row r="131" spans="2:7">
      <c r="B131" s="76" t="s">
        <v>24</v>
      </c>
      <c r="C131" s="76" t="s">
        <v>160</v>
      </c>
      <c r="D131" s="76" t="s">
        <v>163</v>
      </c>
      <c r="E131" s="65" t="s">
        <v>167</v>
      </c>
      <c r="F131" s="76" t="str">
        <f t="shared" si="19"/>
        <v/>
      </c>
      <c r="G131" s="249" t="str">
        <f t="shared" si="18"/>
        <v/>
      </c>
    </row>
    <row r="132" spans="2:7">
      <c r="B132" s="76" t="s">
        <v>24</v>
      </c>
      <c r="C132" s="76" t="s">
        <v>160</v>
      </c>
      <c r="D132" s="76" t="s">
        <v>163</v>
      </c>
      <c r="E132" s="65" t="s">
        <v>175</v>
      </c>
      <c r="F132" s="76" t="str">
        <f t="shared" si="19"/>
        <v/>
      </c>
      <c r="G132" s="249" t="str">
        <f t="shared" si="18"/>
        <v/>
      </c>
    </row>
    <row r="133" spans="2:7">
      <c r="B133" s="76" t="s">
        <v>24</v>
      </c>
      <c r="C133" s="76" t="s">
        <v>160</v>
      </c>
      <c r="D133" s="76" t="s">
        <v>164</v>
      </c>
      <c r="E133" s="65" t="s">
        <v>166</v>
      </c>
      <c r="F133" s="76" t="str">
        <f t="shared" si="19"/>
        <v/>
      </c>
      <c r="G133" s="249" t="str">
        <f t="shared" si="18"/>
        <v/>
      </c>
    </row>
    <row r="134" spans="2:7">
      <c r="B134" s="76" t="s">
        <v>24</v>
      </c>
      <c r="C134" s="76" t="s">
        <v>160</v>
      </c>
      <c r="D134" s="76" t="s">
        <v>164</v>
      </c>
      <c r="E134" s="65" t="s">
        <v>167</v>
      </c>
      <c r="F134" s="76" t="str">
        <f t="shared" si="19"/>
        <v/>
      </c>
      <c r="G134" s="249" t="str">
        <f t="shared" si="18"/>
        <v/>
      </c>
    </row>
    <row r="135" spans="2:7">
      <c r="B135" s="76" t="s">
        <v>24</v>
      </c>
      <c r="C135" s="76" t="s">
        <v>160</v>
      </c>
      <c r="D135" s="76" t="s">
        <v>164</v>
      </c>
      <c r="E135" s="65" t="s">
        <v>175</v>
      </c>
      <c r="F135" s="76" t="str">
        <f t="shared" si="19"/>
        <v/>
      </c>
      <c r="G135" s="249" t="str">
        <f t="shared" si="18"/>
        <v/>
      </c>
    </row>
    <row r="136" spans="2:7">
      <c r="B136" s="76" t="s">
        <v>24</v>
      </c>
      <c r="C136" s="76" t="s">
        <v>160</v>
      </c>
      <c r="D136" s="76" t="s">
        <v>165</v>
      </c>
      <c r="E136" s="65" t="s">
        <v>166</v>
      </c>
      <c r="F136" s="76" t="str">
        <f t="shared" si="19"/>
        <v/>
      </c>
      <c r="G136" s="249" t="str">
        <f t="shared" si="18"/>
        <v/>
      </c>
    </row>
    <row r="137" spans="2:7">
      <c r="B137" s="76" t="s">
        <v>24</v>
      </c>
      <c r="C137" s="76" t="s">
        <v>160</v>
      </c>
      <c r="D137" s="76" t="s">
        <v>165</v>
      </c>
      <c r="E137" s="65" t="s">
        <v>167</v>
      </c>
      <c r="F137" s="76" t="str">
        <f t="shared" si="19"/>
        <v/>
      </c>
      <c r="G137" s="249" t="str">
        <f t="shared" si="18"/>
        <v/>
      </c>
    </row>
    <row r="138" spans="2:7">
      <c r="B138" s="76" t="s">
        <v>24</v>
      </c>
      <c r="C138" s="76" t="s">
        <v>160</v>
      </c>
      <c r="D138" s="76" t="s">
        <v>165</v>
      </c>
      <c r="E138" s="65" t="s">
        <v>175</v>
      </c>
      <c r="F138" s="76" t="str">
        <f t="shared" si="19"/>
        <v/>
      </c>
      <c r="G138" s="249" t="str">
        <f t="shared" si="18"/>
        <v/>
      </c>
    </row>
    <row r="139" spans="2:7">
      <c r="B139" s="77" t="s">
        <v>24</v>
      </c>
      <c r="C139" s="77" t="s">
        <v>161</v>
      </c>
      <c r="D139" s="77" t="s">
        <v>163</v>
      </c>
      <c r="E139" s="65" t="s">
        <v>166</v>
      </c>
      <c r="F139" s="76" t="str">
        <f t="shared" si="19"/>
        <v/>
      </c>
      <c r="G139" s="249" t="str">
        <f t="shared" si="18"/>
        <v/>
      </c>
    </row>
    <row r="140" spans="2:7">
      <c r="B140" s="77" t="s">
        <v>24</v>
      </c>
      <c r="C140" s="77" t="s">
        <v>161</v>
      </c>
      <c r="D140" s="77" t="s">
        <v>163</v>
      </c>
      <c r="E140" s="65" t="s">
        <v>167</v>
      </c>
      <c r="F140" s="76" t="str">
        <f t="shared" si="19"/>
        <v/>
      </c>
      <c r="G140" s="249" t="str">
        <f t="shared" si="18"/>
        <v/>
      </c>
    </row>
    <row r="141" spans="2:7">
      <c r="B141" s="78" t="s">
        <v>24</v>
      </c>
      <c r="C141" s="78" t="s">
        <v>161</v>
      </c>
      <c r="D141" s="78" t="s">
        <v>163</v>
      </c>
      <c r="E141" s="71" t="s">
        <v>175</v>
      </c>
      <c r="F141" s="76" t="str">
        <f t="shared" si="19"/>
        <v/>
      </c>
      <c r="G141" s="249" t="str">
        <f t="shared" si="18"/>
        <v/>
      </c>
    </row>
    <row r="142" spans="2:7">
      <c r="B142" s="79" t="s">
        <v>24</v>
      </c>
      <c r="C142" s="79" t="s">
        <v>161</v>
      </c>
      <c r="D142" s="82" t="s">
        <v>164</v>
      </c>
      <c r="E142" s="68" t="s">
        <v>166</v>
      </c>
      <c r="F142" s="76" t="str">
        <f t="shared" si="19"/>
        <v/>
      </c>
      <c r="G142" s="249" t="str">
        <f t="shared" si="18"/>
        <v/>
      </c>
    </row>
    <row r="143" spans="2:7">
      <c r="B143" s="79" t="s">
        <v>24</v>
      </c>
      <c r="C143" s="79" t="s">
        <v>161</v>
      </c>
      <c r="D143" s="82" t="s">
        <v>164</v>
      </c>
      <c r="E143" s="68" t="s">
        <v>167</v>
      </c>
      <c r="F143" s="76" t="str">
        <f t="shared" si="19"/>
        <v/>
      </c>
      <c r="G143" s="249" t="str">
        <f t="shared" si="18"/>
        <v/>
      </c>
    </row>
    <row r="144" spans="2:7">
      <c r="B144" s="79" t="s">
        <v>24</v>
      </c>
      <c r="C144" s="79" t="s">
        <v>161</v>
      </c>
      <c r="D144" s="82" t="s">
        <v>164</v>
      </c>
      <c r="E144" s="68" t="s">
        <v>175</v>
      </c>
      <c r="F144" s="76" t="str">
        <f t="shared" si="19"/>
        <v/>
      </c>
      <c r="G144" s="249" t="str">
        <f t="shared" si="18"/>
        <v/>
      </c>
    </row>
    <row r="145" spans="2:7">
      <c r="B145" s="79" t="s">
        <v>24</v>
      </c>
      <c r="C145" s="79" t="s">
        <v>161</v>
      </c>
      <c r="D145" s="82" t="s">
        <v>165</v>
      </c>
      <c r="E145" s="68" t="s">
        <v>166</v>
      </c>
      <c r="F145" s="76" t="str">
        <f t="shared" si="19"/>
        <v/>
      </c>
      <c r="G145" s="249" t="str">
        <f t="shared" si="18"/>
        <v/>
      </c>
    </row>
    <row r="146" spans="2:7">
      <c r="B146" s="79" t="s">
        <v>24</v>
      </c>
      <c r="C146" s="79" t="s">
        <v>161</v>
      </c>
      <c r="D146" s="82" t="s">
        <v>165</v>
      </c>
      <c r="E146" s="68" t="s">
        <v>167</v>
      </c>
      <c r="F146" s="76" t="str">
        <f t="shared" si="19"/>
        <v/>
      </c>
      <c r="G146" s="249" t="str">
        <f t="shared" si="18"/>
        <v/>
      </c>
    </row>
    <row r="147" spans="2:7">
      <c r="B147" s="79" t="s">
        <v>24</v>
      </c>
      <c r="C147" s="79" t="s">
        <v>161</v>
      </c>
      <c r="D147" s="82" t="s">
        <v>165</v>
      </c>
      <c r="E147" s="68" t="s">
        <v>175</v>
      </c>
      <c r="F147" s="76" t="str">
        <f t="shared" si="19"/>
        <v/>
      </c>
      <c r="G147" s="249" t="str">
        <f t="shared" si="18"/>
        <v/>
      </c>
    </row>
    <row r="148" spans="2:7">
      <c r="B148" s="79" t="s">
        <v>24</v>
      </c>
      <c r="C148" s="79" t="s">
        <v>162</v>
      </c>
      <c r="D148" s="82" t="s">
        <v>163</v>
      </c>
      <c r="E148" s="68" t="s">
        <v>166</v>
      </c>
      <c r="F148" s="76" t="str">
        <f t="shared" si="19"/>
        <v/>
      </c>
      <c r="G148" s="249" t="str">
        <f t="shared" si="18"/>
        <v/>
      </c>
    </row>
    <row r="149" spans="2:7">
      <c r="B149" s="79" t="s">
        <v>24</v>
      </c>
      <c r="C149" s="79" t="s">
        <v>162</v>
      </c>
      <c r="D149" s="82" t="s">
        <v>163</v>
      </c>
      <c r="E149" s="68" t="s">
        <v>167</v>
      </c>
      <c r="F149" s="76" t="str">
        <f t="shared" si="19"/>
        <v/>
      </c>
      <c r="G149" s="249" t="str">
        <f t="shared" si="18"/>
        <v/>
      </c>
    </row>
    <row r="150" spans="2:7">
      <c r="B150" s="77" t="s">
        <v>24</v>
      </c>
      <c r="C150" s="77" t="s">
        <v>162</v>
      </c>
      <c r="D150" s="77" t="s">
        <v>163</v>
      </c>
      <c r="E150" s="65" t="s">
        <v>175</v>
      </c>
      <c r="F150" s="76" t="str">
        <f t="shared" si="19"/>
        <v/>
      </c>
      <c r="G150" s="249" t="str">
        <f t="shared" si="18"/>
        <v/>
      </c>
    </row>
    <row r="151" spans="2:7">
      <c r="B151" s="77" t="s">
        <v>24</v>
      </c>
      <c r="C151" s="77" t="s">
        <v>162</v>
      </c>
      <c r="D151" s="77" t="s">
        <v>164</v>
      </c>
      <c r="E151" s="65" t="s">
        <v>166</v>
      </c>
      <c r="F151" s="76" t="str">
        <f t="shared" si="19"/>
        <v/>
      </c>
      <c r="G151" s="249" t="str">
        <f t="shared" si="18"/>
        <v/>
      </c>
    </row>
    <row r="152" spans="2:7">
      <c r="B152" s="77" t="s">
        <v>24</v>
      </c>
      <c r="C152" s="77" t="s">
        <v>162</v>
      </c>
      <c r="D152" s="77" t="s">
        <v>164</v>
      </c>
      <c r="E152" s="65" t="s">
        <v>167</v>
      </c>
      <c r="F152" s="76" t="str">
        <f t="shared" si="19"/>
        <v/>
      </c>
      <c r="G152" s="249" t="str">
        <f t="shared" si="18"/>
        <v/>
      </c>
    </row>
    <row r="153" spans="2:7">
      <c r="B153" s="77" t="s">
        <v>24</v>
      </c>
      <c r="C153" s="77" t="s">
        <v>162</v>
      </c>
      <c r="D153" s="77" t="s">
        <v>164</v>
      </c>
      <c r="E153" s="65" t="s">
        <v>175</v>
      </c>
      <c r="F153" s="76" t="str">
        <f t="shared" si="19"/>
        <v/>
      </c>
      <c r="G153" s="249" t="str">
        <f t="shared" si="18"/>
        <v/>
      </c>
    </row>
    <row r="154" spans="2:7">
      <c r="B154" s="77" t="s">
        <v>24</v>
      </c>
      <c r="C154" s="77" t="s">
        <v>162</v>
      </c>
      <c r="D154" s="77" t="s">
        <v>165</v>
      </c>
      <c r="E154" s="65" t="s">
        <v>166</v>
      </c>
      <c r="F154" s="76" t="str">
        <f t="shared" si="19"/>
        <v/>
      </c>
      <c r="G154" s="249" t="str">
        <f t="shared" si="18"/>
        <v/>
      </c>
    </row>
    <row r="155" spans="2:7">
      <c r="B155" s="77" t="s">
        <v>24</v>
      </c>
      <c r="C155" s="77" t="s">
        <v>162</v>
      </c>
      <c r="D155" s="77" t="s">
        <v>165</v>
      </c>
      <c r="E155" s="70" t="s">
        <v>167</v>
      </c>
      <c r="F155" s="76" t="str">
        <f t="shared" si="19"/>
        <v/>
      </c>
      <c r="G155" s="249" t="str">
        <f t="shared" si="18"/>
        <v/>
      </c>
    </row>
    <row r="156" spans="2:7">
      <c r="B156" s="81" t="s">
        <v>24</v>
      </c>
      <c r="C156" s="81" t="s">
        <v>162</v>
      </c>
      <c r="D156" s="81" t="s">
        <v>165</v>
      </c>
      <c r="E156" s="72" t="s">
        <v>175</v>
      </c>
      <c r="F156" s="118" t="str">
        <f t="shared" si="19"/>
        <v/>
      </c>
      <c r="G156" s="250" t="str">
        <f t="shared" si="18"/>
        <v/>
      </c>
    </row>
    <row r="157" spans="2:7">
      <c r="B157" s="75" t="s">
        <v>25</v>
      </c>
      <c r="C157" s="76" t="s">
        <v>160</v>
      </c>
      <c r="D157" s="76" t="s">
        <v>163</v>
      </c>
      <c r="E157" s="65" t="s">
        <v>166</v>
      </c>
      <c r="F157" s="76" t="str">
        <f t="shared" ref="F157:F183" si="20">IF(J12="","",J12)</f>
        <v/>
      </c>
      <c r="G157" s="248" t="str">
        <f t="shared" si="18"/>
        <v/>
      </c>
    </row>
    <row r="158" spans="2:7">
      <c r="B158" s="76" t="s">
        <v>25</v>
      </c>
      <c r="C158" s="76" t="s">
        <v>160</v>
      </c>
      <c r="D158" s="76" t="s">
        <v>163</v>
      </c>
      <c r="E158" s="65" t="s">
        <v>167</v>
      </c>
      <c r="F158" s="76" t="str">
        <f t="shared" si="20"/>
        <v/>
      </c>
      <c r="G158" s="249" t="str">
        <f t="shared" si="18"/>
        <v/>
      </c>
    </row>
    <row r="159" spans="2:7">
      <c r="B159" s="76" t="s">
        <v>25</v>
      </c>
      <c r="C159" s="76" t="s">
        <v>160</v>
      </c>
      <c r="D159" s="76" t="s">
        <v>163</v>
      </c>
      <c r="E159" s="65" t="s">
        <v>175</v>
      </c>
      <c r="F159" s="76" t="str">
        <f t="shared" si="20"/>
        <v/>
      </c>
      <c r="G159" s="249" t="str">
        <f t="shared" si="18"/>
        <v/>
      </c>
    </row>
    <row r="160" spans="2:7">
      <c r="B160" s="76" t="s">
        <v>25</v>
      </c>
      <c r="C160" s="76" t="s">
        <v>160</v>
      </c>
      <c r="D160" s="76" t="s">
        <v>164</v>
      </c>
      <c r="E160" s="65" t="s">
        <v>166</v>
      </c>
      <c r="F160" s="76" t="str">
        <f t="shared" si="20"/>
        <v/>
      </c>
      <c r="G160" s="249" t="str">
        <f t="shared" si="18"/>
        <v/>
      </c>
    </row>
    <row r="161" spans="2:7">
      <c r="B161" s="76" t="s">
        <v>25</v>
      </c>
      <c r="C161" s="76" t="s">
        <v>160</v>
      </c>
      <c r="D161" s="76" t="s">
        <v>164</v>
      </c>
      <c r="E161" s="65" t="s">
        <v>167</v>
      </c>
      <c r="F161" s="76" t="str">
        <f t="shared" si="20"/>
        <v/>
      </c>
      <c r="G161" s="249" t="str">
        <f t="shared" si="18"/>
        <v/>
      </c>
    </row>
    <row r="162" spans="2:7">
      <c r="B162" s="76" t="s">
        <v>25</v>
      </c>
      <c r="C162" s="76" t="s">
        <v>160</v>
      </c>
      <c r="D162" s="76" t="s">
        <v>164</v>
      </c>
      <c r="E162" s="65" t="s">
        <v>175</v>
      </c>
      <c r="F162" s="76" t="str">
        <f t="shared" si="20"/>
        <v/>
      </c>
      <c r="G162" s="249" t="str">
        <f t="shared" si="18"/>
        <v/>
      </c>
    </row>
    <row r="163" spans="2:7">
      <c r="B163" s="76" t="s">
        <v>25</v>
      </c>
      <c r="C163" s="76" t="s">
        <v>160</v>
      </c>
      <c r="D163" s="76" t="s">
        <v>165</v>
      </c>
      <c r="E163" s="65" t="s">
        <v>166</v>
      </c>
      <c r="F163" s="76" t="str">
        <f t="shared" si="20"/>
        <v/>
      </c>
      <c r="G163" s="249" t="str">
        <f t="shared" si="18"/>
        <v/>
      </c>
    </row>
    <row r="164" spans="2:7">
      <c r="B164" s="76" t="s">
        <v>25</v>
      </c>
      <c r="C164" s="76" t="s">
        <v>160</v>
      </c>
      <c r="D164" s="76" t="s">
        <v>165</v>
      </c>
      <c r="E164" s="65" t="s">
        <v>167</v>
      </c>
      <c r="F164" s="76" t="str">
        <f t="shared" si="20"/>
        <v/>
      </c>
      <c r="G164" s="249" t="str">
        <f t="shared" si="18"/>
        <v/>
      </c>
    </row>
    <row r="165" spans="2:7">
      <c r="B165" s="76" t="s">
        <v>25</v>
      </c>
      <c r="C165" s="76" t="s">
        <v>160</v>
      </c>
      <c r="D165" s="76" t="s">
        <v>165</v>
      </c>
      <c r="E165" s="65" t="s">
        <v>175</v>
      </c>
      <c r="F165" s="76" t="str">
        <f t="shared" si="20"/>
        <v/>
      </c>
      <c r="G165" s="249" t="str">
        <f t="shared" si="18"/>
        <v/>
      </c>
    </row>
    <row r="166" spans="2:7">
      <c r="B166" s="77" t="s">
        <v>25</v>
      </c>
      <c r="C166" s="77" t="s">
        <v>161</v>
      </c>
      <c r="D166" s="77" t="s">
        <v>163</v>
      </c>
      <c r="E166" s="65" t="s">
        <v>166</v>
      </c>
      <c r="F166" s="76" t="str">
        <f t="shared" si="20"/>
        <v/>
      </c>
      <c r="G166" s="249" t="str">
        <f t="shared" si="18"/>
        <v/>
      </c>
    </row>
    <row r="167" spans="2:7">
      <c r="B167" s="77" t="s">
        <v>25</v>
      </c>
      <c r="C167" s="77" t="s">
        <v>161</v>
      </c>
      <c r="D167" s="77" t="s">
        <v>163</v>
      </c>
      <c r="E167" s="65" t="s">
        <v>167</v>
      </c>
      <c r="F167" s="76" t="str">
        <f t="shared" si="20"/>
        <v/>
      </c>
      <c r="G167" s="249" t="str">
        <f t="shared" si="18"/>
        <v/>
      </c>
    </row>
    <row r="168" spans="2:7">
      <c r="B168" s="78" t="s">
        <v>25</v>
      </c>
      <c r="C168" s="78" t="s">
        <v>161</v>
      </c>
      <c r="D168" s="78" t="s">
        <v>163</v>
      </c>
      <c r="E168" s="71" t="s">
        <v>175</v>
      </c>
      <c r="F168" s="76" t="str">
        <f t="shared" si="20"/>
        <v/>
      </c>
      <c r="G168" s="249" t="str">
        <f t="shared" si="18"/>
        <v/>
      </c>
    </row>
    <row r="169" spans="2:7">
      <c r="B169" s="79" t="s">
        <v>25</v>
      </c>
      <c r="C169" s="79" t="s">
        <v>161</v>
      </c>
      <c r="D169" s="82" t="s">
        <v>164</v>
      </c>
      <c r="E169" s="68" t="s">
        <v>166</v>
      </c>
      <c r="F169" s="76" t="str">
        <f t="shared" si="20"/>
        <v/>
      </c>
      <c r="G169" s="249" t="str">
        <f t="shared" si="18"/>
        <v/>
      </c>
    </row>
    <row r="170" spans="2:7">
      <c r="B170" s="79" t="s">
        <v>25</v>
      </c>
      <c r="C170" s="79" t="s">
        <v>161</v>
      </c>
      <c r="D170" s="82" t="s">
        <v>164</v>
      </c>
      <c r="E170" s="68" t="s">
        <v>167</v>
      </c>
      <c r="F170" s="76" t="str">
        <f t="shared" si="20"/>
        <v/>
      </c>
      <c r="G170" s="249" t="str">
        <f t="shared" si="18"/>
        <v/>
      </c>
    </row>
    <row r="171" spans="2:7">
      <c r="B171" s="79" t="s">
        <v>25</v>
      </c>
      <c r="C171" s="79" t="s">
        <v>161</v>
      </c>
      <c r="D171" s="82" t="s">
        <v>164</v>
      </c>
      <c r="E171" s="68" t="s">
        <v>175</v>
      </c>
      <c r="F171" s="76" t="str">
        <f t="shared" si="20"/>
        <v/>
      </c>
      <c r="G171" s="249" t="str">
        <f t="shared" si="18"/>
        <v/>
      </c>
    </row>
    <row r="172" spans="2:7">
      <c r="B172" s="79" t="s">
        <v>25</v>
      </c>
      <c r="C172" s="79" t="s">
        <v>161</v>
      </c>
      <c r="D172" s="82" t="s">
        <v>165</v>
      </c>
      <c r="E172" s="68" t="s">
        <v>166</v>
      </c>
      <c r="F172" s="76" t="str">
        <f t="shared" si="20"/>
        <v/>
      </c>
      <c r="G172" s="249" t="str">
        <f t="shared" si="18"/>
        <v/>
      </c>
    </row>
    <row r="173" spans="2:7">
      <c r="B173" s="79" t="s">
        <v>25</v>
      </c>
      <c r="C173" s="79" t="s">
        <v>161</v>
      </c>
      <c r="D173" s="82" t="s">
        <v>165</v>
      </c>
      <c r="E173" s="68" t="s">
        <v>167</v>
      </c>
      <c r="F173" s="76" t="str">
        <f t="shared" si="20"/>
        <v/>
      </c>
      <c r="G173" s="249" t="str">
        <f t="shared" si="18"/>
        <v/>
      </c>
    </row>
    <row r="174" spans="2:7">
      <c r="B174" s="79" t="s">
        <v>25</v>
      </c>
      <c r="C174" s="79" t="s">
        <v>161</v>
      </c>
      <c r="D174" s="82" t="s">
        <v>165</v>
      </c>
      <c r="E174" s="68" t="s">
        <v>175</v>
      </c>
      <c r="F174" s="76" t="str">
        <f t="shared" si="20"/>
        <v/>
      </c>
      <c r="G174" s="249" t="str">
        <f t="shared" si="18"/>
        <v/>
      </c>
    </row>
    <row r="175" spans="2:7">
      <c r="B175" s="79" t="s">
        <v>25</v>
      </c>
      <c r="C175" s="79" t="s">
        <v>162</v>
      </c>
      <c r="D175" s="82" t="s">
        <v>163</v>
      </c>
      <c r="E175" s="68" t="s">
        <v>166</v>
      </c>
      <c r="F175" s="76" t="str">
        <f t="shared" si="20"/>
        <v/>
      </c>
      <c r="G175" s="249" t="str">
        <f t="shared" si="18"/>
        <v/>
      </c>
    </row>
    <row r="176" spans="2:7">
      <c r="B176" s="79" t="s">
        <v>25</v>
      </c>
      <c r="C176" s="79" t="s">
        <v>162</v>
      </c>
      <c r="D176" s="82" t="s">
        <v>163</v>
      </c>
      <c r="E176" s="68" t="s">
        <v>167</v>
      </c>
      <c r="F176" s="76" t="str">
        <f t="shared" si="20"/>
        <v/>
      </c>
      <c r="G176" s="249" t="str">
        <f t="shared" si="18"/>
        <v/>
      </c>
    </row>
    <row r="177" spans="1:8">
      <c r="B177" s="77" t="s">
        <v>25</v>
      </c>
      <c r="C177" s="77" t="s">
        <v>162</v>
      </c>
      <c r="D177" s="77" t="s">
        <v>163</v>
      </c>
      <c r="E177" s="65" t="s">
        <v>175</v>
      </c>
      <c r="F177" s="76" t="str">
        <f t="shared" si="20"/>
        <v/>
      </c>
      <c r="G177" s="249" t="str">
        <f t="shared" ref="G177:G183" si="21">IF(F177="","",CONCATENATE(C177,"_",D177,"_",E177))</f>
        <v/>
      </c>
    </row>
    <row r="178" spans="1:8">
      <c r="B178" s="77" t="s">
        <v>25</v>
      </c>
      <c r="C178" s="77" t="s">
        <v>162</v>
      </c>
      <c r="D178" s="77" t="s">
        <v>164</v>
      </c>
      <c r="E178" s="65" t="s">
        <v>166</v>
      </c>
      <c r="F178" s="76" t="str">
        <f t="shared" si="20"/>
        <v/>
      </c>
      <c r="G178" s="249" t="str">
        <f t="shared" si="21"/>
        <v/>
      </c>
    </row>
    <row r="179" spans="1:8">
      <c r="B179" s="77" t="s">
        <v>25</v>
      </c>
      <c r="C179" s="77" t="s">
        <v>162</v>
      </c>
      <c r="D179" s="77" t="s">
        <v>164</v>
      </c>
      <c r="E179" s="65" t="s">
        <v>167</v>
      </c>
      <c r="F179" s="76" t="str">
        <f t="shared" si="20"/>
        <v/>
      </c>
      <c r="G179" s="249" t="str">
        <f t="shared" si="21"/>
        <v/>
      </c>
    </row>
    <row r="180" spans="1:8">
      <c r="B180" s="77" t="s">
        <v>25</v>
      </c>
      <c r="C180" s="77" t="s">
        <v>162</v>
      </c>
      <c r="D180" s="77" t="s">
        <v>164</v>
      </c>
      <c r="E180" s="65" t="s">
        <v>175</v>
      </c>
      <c r="F180" s="76" t="str">
        <f t="shared" si="20"/>
        <v/>
      </c>
      <c r="G180" s="249" t="str">
        <f t="shared" si="21"/>
        <v/>
      </c>
    </row>
    <row r="181" spans="1:8">
      <c r="B181" s="77" t="s">
        <v>25</v>
      </c>
      <c r="C181" s="77" t="s">
        <v>162</v>
      </c>
      <c r="D181" s="77" t="s">
        <v>165</v>
      </c>
      <c r="E181" s="65" t="s">
        <v>166</v>
      </c>
      <c r="F181" s="76" t="str">
        <f t="shared" si="20"/>
        <v/>
      </c>
      <c r="G181" s="249" t="str">
        <f t="shared" si="21"/>
        <v/>
      </c>
    </row>
    <row r="182" spans="1:8">
      <c r="B182" s="77" t="s">
        <v>25</v>
      </c>
      <c r="C182" s="77" t="s">
        <v>162</v>
      </c>
      <c r="D182" s="77" t="s">
        <v>165</v>
      </c>
      <c r="E182" s="70" t="s">
        <v>167</v>
      </c>
      <c r="F182" s="76" t="str">
        <f t="shared" si="20"/>
        <v/>
      </c>
      <c r="G182" s="249" t="str">
        <f t="shared" si="21"/>
        <v/>
      </c>
    </row>
    <row r="183" spans="1:8">
      <c r="B183" s="81" t="s">
        <v>25</v>
      </c>
      <c r="C183" s="81" t="s">
        <v>162</v>
      </c>
      <c r="D183" s="81" t="s">
        <v>165</v>
      </c>
      <c r="E183" s="72" t="s">
        <v>175</v>
      </c>
      <c r="F183" s="118" t="str">
        <f t="shared" si="20"/>
        <v/>
      </c>
      <c r="G183" s="250" t="str">
        <f t="shared" si="21"/>
        <v/>
      </c>
    </row>
    <row r="186" spans="1:8" ht="14.4">
      <c r="A186" s="237" t="s">
        <v>191</v>
      </c>
      <c r="B186" s="238"/>
      <c r="C186" s="238"/>
      <c r="D186" s="238"/>
      <c r="E186" s="238"/>
      <c r="F186" s="238"/>
      <c r="G186" s="238"/>
      <c r="H186" s="238"/>
    </row>
    <row r="188" spans="1:8">
      <c r="B188" s="35" t="s">
        <v>192</v>
      </c>
    </row>
    <row r="189" spans="1:8">
      <c r="B189" s="35"/>
      <c r="C189" s="35" t="s">
        <v>193</v>
      </c>
    </row>
    <row r="191" spans="1:8" ht="15.6">
      <c r="B191" s="24" t="s">
        <v>194</v>
      </c>
      <c r="D191" s="203"/>
      <c r="E191" s="203"/>
    </row>
    <row r="192" spans="1:8" ht="15.6">
      <c r="B192" s="35" t="s">
        <v>212</v>
      </c>
      <c r="D192" s="203"/>
      <c r="E192" s="203"/>
    </row>
    <row r="193" spans="2:8" ht="15.6">
      <c r="B193" s="35"/>
      <c r="C193" s="240" t="s">
        <v>222</v>
      </c>
      <c r="D193" s="251"/>
      <c r="E193" s="251"/>
      <c r="F193" s="238"/>
      <c r="G193" s="238"/>
      <c r="H193" s="238"/>
    </row>
    <row r="194" spans="2:8" ht="15.6">
      <c r="B194" s="35"/>
      <c r="C194" s="240" t="s">
        <v>223</v>
      </c>
      <c r="D194" s="251"/>
      <c r="E194" s="251"/>
      <c r="F194" s="238"/>
      <c r="G194" s="238"/>
      <c r="H194" s="238"/>
    </row>
    <row r="195" spans="2:8" ht="15.6">
      <c r="B195" s="35"/>
      <c r="C195" s="240" t="s">
        <v>224</v>
      </c>
      <c r="D195" s="251"/>
      <c r="E195" s="251"/>
      <c r="F195" s="238"/>
      <c r="G195" s="238"/>
      <c r="H195" s="238"/>
    </row>
    <row r="196" spans="2:8" ht="15.6">
      <c r="B196" s="35"/>
      <c r="D196" s="203"/>
      <c r="E196" s="203"/>
    </row>
    <row r="197" spans="2:8">
      <c r="B197" s="35" t="s">
        <v>213</v>
      </c>
    </row>
    <row r="198" spans="2:8">
      <c r="B198" s="35" t="s">
        <v>200</v>
      </c>
    </row>
    <row r="199" spans="2:8" ht="13.8">
      <c r="B199" s="35"/>
      <c r="C199" s="240" t="s">
        <v>202</v>
      </c>
      <c r="D199" s="240"/>
      <c r="E199" s="240"/>
      <c r="F199" s="240"/>
      <c r="G199" s="238"/>
      <c r="H199" s="238"/>
    </row>
    <row r="200" spans="2:8" ht="13.8">
      <c r="B200" s="35"/>
      <c r="C200" s="240" t="s">
        <v>203</v>
      </c>
      <c r="D200" s="238"/>
      <c r="E200" s="238"/>
      <c r="F200" s="238"/>
      <c r="G200" s="238"/>
      <c r="H200" s="238"/>
    </row>
    <row r="201" spans="2:8">
      <c r="B201" s="35"/>
    </row>
    <row r="202" spans="2:8">
      <c r="B202" s="35" t="s">
        <v>201</v>
      </c>
    </row>
    <row r="203" spans="2:8">
      <c r="B203" s="35"/>
      <c r="C203" s="35" t="s">
        <v>238</v>
      </c>
    </row>
    <row r="204" spans="2:8">
      <c r="B204" s="35"/>
      <c r="C204" s="263" t="s">
        <v>239</v>
      </c>
    </row>
    <row r="205" spans="2:8">
      <c r="B205" s="35"/>
      <c r="C205" s="35" t="s">
        <v>244</v>
      </c>
    </row>
    <row r="206" spans="2:8">
      <c r="B206" s="35"/>
      <c r="C206" s="263" t="s">
        <v>240</v>
      </c>
    </row>
    <row r="207" spans="2:8">
      <c r="B207" s="35"/>
      <c r="C207" s="35" t="s">
        <v>241</v>
      </c>
    </row>
    <row r="208" spans="2:8">
      <c r="B208" s="35"/>
      <c r="C208" s="35" t="s">
        <v>242</v>
      </c>
    </row>
    <row r="209" spans="1:8">
      <c r="B209" s="35"/>
      <c r="C209" s="35"/>
    </row>
    <row r="210" spans="1:8">
      <c r="B210" s="35"/>
      <c r="C210" s="35" t="s">
        <v>243</v>
      </c>
    </row>
    <row r="211" spans="1:8" ht="13.8">
      <c r="C211" s="240" t="s">
        <v>225</v>
      </c>
      <c r="D211" s="238"/>
      <c r="E211" s="238"/>
      <c r="F211" s="238"/>
      <c r="G211" s="238"/>
      <c r="H211" s="238"/>
    </row>
    <row r="212" spans="1:8" ht="13.8">
      <c r="C212" s="240" t="s">
        <v>223</v>
      </c>
      <c r="D212" s="238"/>
      <c r="E212" s="238"/>
      <c r="F212" s="238"/>
      <c r="G212" s="238"/>
      <c r="H212" s="238"/>
    </row>
    <row r="213" spans="1:8" ht="13.8">
      <c r="C213" s="240" t="s">
        <v>224</v>
      </c>
      <c r="D213" s="238"/>
      <c r="E213" s="238"/>
      <c r="F213" s="238"/>
      <c r="G213" s="238"/>
      <c r="H213" s="238"/>
    </row>
    <row r="214" spans="1:8" ht="15.6">
      <c r="A214" s="203"/>
      <c r="D214" s="203"/>
      <c r="E214" s="203"/>
      <c r="F214" s="203"/>
      <c r="G214" s="203"/>
      <c r="H214" s="203"/>
    </row>
    <row r="215" spans="1:8" ht="15.6">
      <c r="A215" s="203"/>
      <c r="C215" s="35" t="s">
        <v>245</v>
      </c>
      <c r="D215" s="203"/>
      <c r="E215" s="203"/>
      <c r="F215" s="203"/>
      <c r="G215" s="203"/>
      <c r="H215" s="203"/>
    </row>
    <row r="216" spans="1:8" ht="15.6">
      <c r="A216" s="203"/>
      <c r="C216" s="240" t="s">
        <v>246</v>
      </c>
      <c r="D216" s="251"/>
      <c r="E216" s="251"/>
      <c r="F216" s="251"/>
      <c r="G216" s="251"/>
      <c r="H216" s="251"/>
    </row>
    <row r="217" spans="1:8" ht="15.6">
      <c r="A217" s="203"/>
      <c r="C217" s="240" t="s">
        <v>202</v>
      </c>
      <c r="D217" s="251"/>
      <c r="E217" s="251"/>
      <c r="F217" s="251"/>
      <c r="G217" s="251"/>
      <c r="H217" s="251"/>
    </row>
    <row r="218" spans="1:8" ht="15.6">
      <c r="A218" s="203"/>
      <c r="C218" s="240" t="s">
        <v>265</v>
      </c>
      <c r="D218" s="251"/>
      <c r="E218" s="251"/>
      <c r="F218" s="251"/>
      <c r="G218" s="251"/>
      <c r="H218" s="251"/>
    </row>
    <row r="219" spans="1:8" ht="15.6">
      <c r="A219" s="203"/>
      <c r="C219" s="240" t="s">
        <v>223</v>
      </c>
      <c r="D219" s="251"/>
      <c r="E219" s="251"/>
      <c r="F219" s="251"/>
      <c r="G219" s="251"/>
      <c r="H219" s="251"/>
    </row>
    <row r="220" spans="1:8" ht="15.6">
      <c r="A220" s="203"/>
      <c r="C220" s="240" t="s">
        <v>266</v>
      </c>
      <c r="D220" s="251"/>
      <c r="E220" s="251"/>
      <c r="F220" s="251"/>
      <c r="G220" s="251"/>
      <c r="H220" s="251"/>
    </row>
    <row r="221" spans="1:8" ht="15.6">
      <c r="A221" s="203"/>
      <c r="D221" s="203"/>
      <c r="E221" s="203"/>
      <c r="F221" s="203"/>
      <c r="G221" s="203"/>
      <c r="H221" s="203"/>
    </row>
    <row r="222" spans="1:8" ht="15.6">
      <c r="A222" s="203"/>
      <c r="B222" s="35" t="s">
        <v>258</v>
      </c>
      <c r="D222" s="203"/>
      <c r="E222" s="203"/>
      <c r="F222" s="203"/>
      <c r="G222" s="203"/>
      <c r="H222" s="203"/>
    </row>
    <row r="223" spans="1:8" ht="15.6">
      <c r="A223" s="203"/>
      <c r="C223" s="240" t="s">
        <v>267</v>
      </c>
      <c r="D223" s="251"/>
      <c r="E223" s="251"/>
      <c r="F223" s="251"/>
      <c r="G223" s="251"/>
      <c r="H223" s="251"/>
    </row>
    <row r="224" spans="1:8" ht="15.6">
      <c r="A224" s="203"/>
      <c r="B224" s="203"/>
      <c r="C224" s="240" t="s">
        <v>269</v>
      </c>
      <c r="D224" s="251"/>
      <c r="E224" s="251"/>
      <c r="F224" s="251"/>
      <c r="G224" s="251"/>
      <c r="H224" s="251"/>
    </row>
    <row r="225" spans="1:8" ht="13.8">
      <c r="C225" s="240" t="s">
        <v>268</v>
      </c>
      <c r="D225" s="238"/>
      <c r="E225" s="238"/>
      <c r="F225" s="238"/>
      <c r="G225" s="238"/>
      <c r="H225" s="238"/>
    </row>
    <row r="228" spans="1:8">
      <c r="A228" s="264" t="s">
        <v>284</v>
      </c>
    </row>
  </sheetData>
  <sheetProtection sheet="1" objects="1" scenarios="1" formatCells="0"/>
  <mergeCells count="5">
    <mergeCell ref="D2:H2"/>
    <mergeCell ref="D3:H3"/>
    <mergeCell ref="G6:H6"/>
    <mergeCell ref="G7:H7"/>
    <mergeCell ref="G8:H8"/>
  </mergeCells>
  <phoneticPr fontId="6" type="noConversion"/>
  <hyperlinks>
    <hyperlink ref="A228" r:id="rId1"/>
  </hyperlinks>
  <printOptions gridLines="1" gridLinesSet="0"/>
  <pageMargins left="0.78740157499999996" right="0.78740157499999996" top="0.984251969" bottom="0.984251969" header="0.4921259845" footer="0.4921259845"/>
  <pageSetup paperSize="9" orientation="portrait" horizontalDpi="360" verticalDpi="360" copies="0" r:id="rId2"/>
  <headerFooter alignWithMargins="0">
    <oddHeader>&amp;A</oddHeader>
    <oddFooter>Page &amp;P</oddFooter>
  </headerFooter>
  <drawing r:id="rId3"/>
</worksheet>
</file>

<file path=xl/worksheets/sheet9.xml><?xml version="1.0" encoding="utf-8"?>
<worksheet xmlns="http://schemas.openxmlformats.org/spreadsheetml/2006/main" xmlns:r="http://schemas.openxmlformats.org/officeDocument/2006/relationships">
  <dimension ref="A2:Y210"/>
  <sheetViews>
    <sheetView zoomScale="85" zoomScaleNormal="85" workbookViewId="0">
      <selection activeCell="D2" sqref="D2:H4"/>
    </sheetView>
  </sheetViews>
  <sheetFormatPr baseColWidth="10" defaultRowHeight="13.2"/>
  <cols>
    <col min="1" max="1" width="15.77734375" style="10" customWidth="1"/>
    <col min="2" max="2" width="15.33203125" style="10" customWidth="1"/>
    <col min="3" max="5" width="11.5546875" style="10"/>
    <col min="6" max="6" width="12.109375" style="10" customWidth="1"/>
    <col min="7" max="7" width="12.88671875" style="10" customWidth="1"/>
    <col min="8" max="11" width="11.5546875" style="10"/>
    <col min="12" max="12" width="7.77734375" style="10" customWidth="1"/>
    <col min="13" max="13" width="7.33203125" style="10" customWidth="1"/>
    <col min="14" max="14" width="7.6640625" style="10" customWidth="1"/>
    <col min="15" max="15" width="8.6640625" style="10" customWidth="1"/>
    <col min="16" max="16" width="7.44140625" style="10" customWidth="1"/>
    <col min="17" max="25" width="5.77734375" style="10" customWidth="1"/>
    <col min="26" max="16384" width="11.5546875" style="10"/>
  </cols>
  <sheetData>
    <row r="2" spans="1:25" ht="16.2">
      <c r="D2" s="266" t="s">
        <v>178</v>
      </c>
      <c r="E2" s="266"/>
      <c r="F2" s="266"/>
      <c r="G2" s="266"/>
      <c r="H2" s="266"/>
    </row>
    <row r="3" spans="1:25" ht="16.2">
      <c r="D3" s="266" t="s">
        <v>173</v>
      </c>
      <c r="E3" s="266"/>
      <c r="F3" s="266"/>
      <c r="G3" s="266"/>
      <c r="H3" s="266"/>
    </row>
    <row r="4" spans="1:25" ht="16.2">
      <c r="D4" s="266" t="s">
        <v>159</v>
      </c>
      <c r="E4" s="266"/>
      <c r="F4" s="266"/>
      <c r="G4" s="266"/>
      <c r="H4" s="266"/>
    </row>
    <row r="5" spans="1:25" ht="13.8" thickBot="1"/>
    <row r="6" spans="1:25" ht="14.4" thickBot="1">
      <c r="A6" s="95" t="s">
        <v>3</v>
      </c>
      <c r="B6" s="39"/>
      <c r="C6" s="39"/>
      <c r="D6" s="39"/>
      <c r="E6" s="50"/>
    </row>
    <row r="7" spans="1:25">
      <c r="A7" s="40"/>
      <c r="B7" s="41" t="s">
        <v>4</v>
      </c>
      <c r="C7" s="41" t="s">
        <v>5</v>
      </c>
      <c r="D7" s="41" t="s">
        <v>6</v>
      </c>
      <c r="E7" s="51" t="s">
        <v>7</v>
      </c>
      <c r="G7" s="267" t="s">
        <v>8</v>
      </c>
      <c r="H7" s="268"/>
      <c r="I7" s="85"/>
      <c r="J7" s="85"/>
      <c r="K7" s="85"/>
      <c r="L7" s="85"/>
      <c r="M7" s="25"/>
    </row>
    <row r="8" spans="1:25">
      <c r="A8" s="42" t="s">
        <v>9</v>
      </c>
      <c r="B8" s="48" t="s">
        <v>72</v>
      </c>
      <c r="C8" s="48" t="s">
        <v>73</v>
      </c>
      <c r="D8" s="48" t="s">
        <v>74</v>
      </c>
      <c r="E8" s="100" t="s">
        <v>75</v>
      </c>
      <c r="G8" s="269" t="s">
        <v>150</v>
      </c>
      <c r="H8" s="270"/>
      <c r="I8" s="85"/>
      <c r="J8" s="85"/>
      <c r="K8" s="85"/>
      <c r="L8" s="85"/>
      <c r="M8" s="25"/>
    </row>
    <row r="9" spans="1:25" ht="13.8" thickBot="1">
      <c r="A9" s="42" t="s">
        <v>13</v>
      </c>
      <c r="B9" s="48" t="s">
        <v>65</v>
      </c>
      <c r="C9" s="48" t="s">
        <v>69</v>
      </c>
      <c r="D9" s="48" t="s">
        <v>70</v>
      </c>
      <c r="E9" s="53"/>
      <c r="G9" s="271" t="s">
        <v>18</v>
      </c>
      <c r="H9" s="272"/>
      <c r="I9" s="85"/>
      <c r="J9" s="85"/>
      <c r="K9" s="85"/>
      <c r="L9" s="85"/>
      <c r="M9" s="25"/>
    </row>
    <row r="10" spans="1:25">
      <c r="A10" s="42" t="s">
        <v>43</v>
      </c>
      <c r="B10" s="48" t="s">
        <v>66</v>
      </c>
      <c r="C10" s="48" t="s">
        <v>67</v>
      </c>
      <c r="D10" s="48" t="s">
        <v>68</v>
      </c>
      <c r="E10" s="53"/>
    </row>
    <row r="11" spans="1:25" ht="13.8" thickBot="1">
      <c r="A11" s="54" t="s">
        <v>50</v>
      </c>
      <c r="B11" s="55" t="s">
        <v>71</v>
      </c>
      <c r="C11" s="55" t="s">
        <v>76</v>
      </c>
      <c r="D11" s="55" t="s">
        <v>77</v>
      </c>
      <c r="E11" s="57"/>
      <c r="G11" s="24" t="s">
        <v>149</v>
      </c>
    </row>
    <row r="12" spans="1:25">
      <c r="G12" s="17"/>
      <c r="H12" s="17"/>
      <c r="I12" s="17"/>
      <c r="J12" s="17"/>
    </row>
    <row r="13" spans="1:25" ht="13.8">
      <c r="A13" s="43" t="s">
        <v>19</v>
      </c>
      <c r="B13" s="96" t="str">
        <f>B8</f>
        <v>Souche</v>
      </c>
      <c r="C13" s="96" t="str">
        <f>B9</f>
        <v>Age</v>
      </c>
      <c r="D13" s="96" t="str">
        <f>B10</f>
        <v>Sexe</v>
      </c>
      <c r="E13" s="96" t="str">
        <f>B11</f>
        <v>Traitement</v>
      </c>
      <c r="F13" s="43" t="s">
        <v>20</v>
      </c>
      <c r="G13" s="97" t="s">
        <v>21</v>
      </c>
      <c r="H13" s="97" t="s">
        <v>22</v>
      </c>
      <c r="I13" s="97" t="s">
        <v>23</v>
      </c>
      <c r="J13" s="97" t="s">
        <v>24</v>
      </c>
      <c r="K13" s="97" t="s">
        <v>25</v>
      </c>
      <c r="L13" s="19"/>
    </row>
    <row r="14" spans="1:25" ht="13.8">
      <c r="A14" s="98">
        <v>1</v>
      </c>
      <c r="B14" s="98" t="str">
        <f>C$8</f>
        <v>ScheA</v>
      </c>
      <c r="C14" s="98" t="str">
        <f>C$9</f>
        <v>Jeune</v>
      </c>
      <c r="D14" s="98" t="str">
        <f>C$10</f>
        <v>Femelle</v>
      </c>
      <c r="E14" s="98" t="str">
        <f>C$11</f>
        <v>Placebo</v>
      </c>
      <c r="F14" s="99">
        <f>MEDIAN(G14:K14)</f>
        <v>19.5</v>
      </c>
      <c r="G14" s="101">
        <v>21</v>
      </c>
      <c r="H14" s="102">
        <v>18</v>
      </c>
      <c r="I14" s="102"/>
      <c r="J14" s="102"/>
      <c r="K14" s="102"/>
      <c r="L14" s="19"/>
      <c r="N14" s="10" t="str">
        <f>C8</f>
        <v>ScheA</v>
      </c>
      <c r="O14" s="10" t="str">
        <f>D8</f>
        <v>ScheB</v>
      </c>
      <c r="P14" s="14" t="str">
        <f>E8</f>
        <v>ScheC</v>
      </c>
      <c r="Q14" s="10" t="s">
        <v>59</v>
      </c>
      <c r="R14" s="10" t="str">
        <f>C9</f>
        <v>Jeune</v>
      </c>
      <c r="S14" s="10" t="str">
        <f>D9</f>
        <v>Adulte</v>
      </c>
      <c r="T14" s="10" t="s">
        <v>59</v>
      </c>
      <c r="U14" s="10" t="str">
        <f>C10</f>
        <v>Femelle</v>
      </c>
      <c r="V14" s="10" t="str">
        <f>D10</f>
        <v>Mâle</v>
      </c>
      <c r="W14" s="10" t="s">
        <v>59</v>
      </c>
      <c r="X14" s="10" t="str">
        <f>C11</f>
        <v>Placebo</v>
      </c>
      <c r="Y14" s="10" t="str">
        <f>D11</f>
        <v>Traité</v>
      </c>
    </row>
    <row r="15" spans="1:25" ht="13.8">
      <c r="A15" s="98">
        <v>2</v>
      </c>
      <c r="B15" s="98" t="str">
        <f t="shared" ref="B15:B21" si="0">C$8</f>
        <v>ScheA</v>
      </c>
      <c r="C15" s="98" t="str">
        <f t="shared" ref="C15:C17" si="1">C$9</f>
        <v>Jeune</v>
      </c>
      <c r="D15" s="98" t="str">
        <f>C$10</f>
        <v>Femelle</v>
      </c>
      <c r="E15" s="98" t="str">
        <f>D$11</f>
        <v>Traité</v>
      </c>
      <c r="F15" s="99">
        <f>MEDIAN(G15:K15)</f>
        <v>11.81</v>
      </c>
      <c r="G15" s="101">
        <v>12.31</v>
      </c>
      <c r="H15" s="102">
        <v>11.31</v>
      </c>
      <c r="I15" s="102"/>
      <c r="J15" s="101"/>
      <c r="K15" s="101"/>
      <c r="L15" s="19"/>
      <c r="N15" s="10" t="str">
        <f>B8</f>
        <v>Souche</v>
      </c>
      <c r="O15" s="10" t="str">
        <f>B8</f>
        <v>Souche</v>
      </c>
      <c r="P15" s="14" t="str">
        <f>B8</f>
        <v>Souche</v>
      </c>
      <c r="R15" s="10" t="str">
        <f>B9</f>
        <v>Age</v>
      </c>
      <c r="S15" s="10" t="str">
        <f>B9</f>
        <v>Age</v>
      </c>
      <c r="U15" s="10" t="str">
        <f>B10</f>
        <v>Sexe</v>
      </c>
      <c r="V15" s="10" t="str">
        <f>B10</f>
        <v>Sexe</v>
      </c>
      <c r="X15" s="10" t="str">
        <f>B11</f>
        <v>Traitement</v>
      </c>
      <c r="Y15" s="10" t="str">
        <f>B11</f>
        <v>Traitement</v>
      </c>
    </row>
    <row r="16" spans="1:25" ht="13.8">
      <c r="A16" s="98">
        <v>3</v>
      </c>
      <c r="B16" s="98" t="str">
        <f t="shared" si="0"/>
        <v>ScheA</v>
      </c>
      <c r="C16" s="98" t="str">
        <f t="shared" si="1"/>
        <v>Jeune</v>
      </c>
      <c r="D16" s="98" t="str">
        <f>D$10</f>
        <v>Mâle</v>
      </c>
      <c r="E16" s="98" t="str">
        <f>C$11</f>
        <v>Placebo</v>
      </c>
      <c r="F16" s="99">
        <f>MEDIAN(G16:K16)</f>
        <v>31.240000000000002</v>
      </c>
      <c r="G16" s="101">
        <v>32.74</v>
      </c>
      <c r="H16" s="102">
        <v>29.740000000000002</v>
      </c>
      <c r="I16" s="102"/>
      <c r="J16" s="101"/>
      <c r="K16" s="101"/>
      <c r="L16" s="19"/>
      <c r="M16" s="10" t="s">
        <v>51</v>
      </c>
      <c r="N16" s="15">
        <f>B40+(C40)</f>
        <v>27.911250000000003</v>
      </c>
      <c r="O16" s="15">
        <f>B41+(C41)</f>
        <v>31.776250000000005</v>
      </c>
      <c r="P16" s="15">
        <f>B42+C42</f>
        <v>73.565000000000012</v>
      </c>
      <c r="R16" s="15">
        <f>B40+(D40)</f>
        <v>41.155000000000001</v>
      </c>
      <c r="S16" s="15">
        <f>B41+D41</f>
        <v>47.680000000000007</v>
      </c>
      <c r="U16" s="15">
        <f>B40+E40</f>
        <v>42.486666666666672</v>
      </c>
      <c r="V16" s="15">
        <f>B41+E41</f>
        <v>46.348333333333336</v>
      </c>
      <c r="W16" s="15"/>
      <c r="X16" s="15">
        <f>B40+F40</f>
        <v>54.375</v>
      </c>
      <c r="Y16" s="15">
        <f>B41+F41</f>
        <v>34.46</v>
      </c>
    </row>
    <row r="17" spans="1:25" ht="13.8">
      <c r="A17" s="98">
        <v>4</v>
      </c>
      <c r="B17" s="98" t="str">
        <f t="shared" si="0"/>
        <v>ScheA</v>
      </c>
      <c r="C17" s="98" t="str">
        <f t="shared" si="1"/>
        <v>Jeune</v>
      </c>
      <c r="D17" s="98" t="str">
        <f>D$10</f>
        <v>Mâle</v>
      </c>
      <c r="E17" s="98" t="str">
        <f>D$11</f>
        <v>Traité</v>
      </c>
      <c r="F17" s="99">
        <f>MEDIAN(G17:K17)</f>
        <v>21.28</v>
      </c>
      <c r="G17" s="101">
        <v>20.28</v>
      </c>
      <c r="H17" s="102">
        <v>22.28</v>
      </c>
      <c r="I17" s="102"/>
      <c r="J17" s="101"/>
      <c r="K17" s="101"/>
      <c r="L17" s="19"/>
      <c r="M17" s="35" t="s">
        <v>26</v>
      </c>
      <c r="N17" s="15">
        <f>$B40</f>
        <v>44.417499999999997</v>
      </c>
      <c r="O17" s="15">
        <f t="shared" ref="O17:Y17" si="2">$B40</f>
        <v>44.417499999999997</v>
      </c>
      <c r="P17" s="15">
        <f t="shared" si="2"/>
        <v>44.417499999999997</v>
      </c>
      <c r="Q17" s="15">
        <f t="shared" si="2"/>
        <v>44.417499999999997</v>
      </c>
      <c r="R17" s="15">
        <f t="shared" si="2"/>
        <v>44.417499999999997</v>
      </c>
      <c r="S17" s="15">
        <f t="shared" si="2"/>
        <v>44.417499999999997</v>
      </c>
      <c r="T17" s="15">
        <f t="shared" si="2"/>
        <v>44.417499999999997</v>
      </c>
      <c r="U17" s="15">
        <f t="shared" si="2"/>
        <v>44.417499999999997</v>
      </c>
      <c r="V17" s="15">
        <f t="shared" si="2"/>
        <v>44.417499999999997</v>
      </c>
      <c r="W17" s="15">
        <f t="shared" si="2"/>
        <v>44.417499999999997</v>
      </c>
      <c r="X17" s="15">
        <f t="shared" si="2"/>
        <v>44.417499999999997</v>
      </c>
      <c r="Y17" s="15">
        <f t="shared" si="2"/>
        <v>44.417499999999997</v>
      </c>
    </row>
    <row r="18" spans="1:25" ht="13.8">
      <c r="A18" s="98">
        <v>5</v>
      </c>
      <c r="B18" s="98" t="str">
        <f t="shared" si="0"/>
        <v>ScheA</v>
      </c>
      <c r="C18" s="98" t="str">
        <f>D$9</f>
        <v>Adulte</v>
      </c>
      <c r="D18" s="98" t="str">
        <f>C$10</f>
        <v>Femelle</v>
      </c>
      <c r="E18" s="98" t="str">
        <f>C$11</f>
        <v>Placebo</v>
      </c>
      <c r="F18" s="99">
        <f t="shared" ref="F18:F27" si="3">MEDIAN(G18:K18)</f>
        <v>38.200000000000003</v>
      </c>
      <c r="G18" s="101">
        <v>38.700000000000003</v>
      </c>
      <c r="H18" s="102">
        <v>37.700000000000003</v>
      </c>
      <c r="I18" s="102"/>
      <c r="J18" s="101"/>
      <c r="K18" s="101"/>
      <c r="L18" s="19"/>
      <c r="N18" s="15"/>
      <c r="W18" s="15"/>
      <c r="X18" s="15"/>
      <c r="Y18" s="15"/>
    </row>
    <row r="19" spans="1:25" ht="13.8">
      <c r="A19" s="98">
        <v>6</v>
      </c>
      <c r="B19" s="98" t="str">
        <f t="shared" si="0"/>
        <v>ScheA</v>
      </c>
      <c r="C19" s="98" t="str">
        <f t="shared" ref="C19:C21" si="4">D$9</f>
        <v>Adulte</v>
      </c>
      <c r="D19" s="98" t="str">
        <f>C$10</f>
        <v>Femelle</v>
      </c>
      <c r="E19" s="98" t="str">
        <f>D$11</f>
        <v>Traité</v>
      </c>
      <c r="F19" s="99">
        <f t="shared" si="3"/>
        <v>22.45</v>
      </c>
      <c r="G19" s="101">
        <v>21.45</v>
      </c>
      <c r="H19" s="102">
        <v>23.45</v>
      </c>
      <c r="I19" s="102"/>
      <c r="J19" s="101"/>
      <c r="K19" s="101"/>
      <c r="L19" s="19"/>
      <c r="O19" s="14" t="str">
        <f>B8</f>
        <v>Souche</v>
      </c>
      <c r="P19" s="14" t="str">
        <f>B8</f>
        <v>Souche</v>
      </c>
      <c r="Q19" s="14" t="str">
        <f>B8</f>
        <v>Souche</v>
      </c>
      <c r="R19" s="24" t="s">
        <v>52</v>
      </c>
    </row>
    <row r="20" spans="1:25" ht="13.8">
      <c r="A20" s="98">
        <v>7</v>
      </c>
      <c r="B20" s="98" t="str">
        <f t="shared" si="0"/>
        <v>ScheA</v>
      </c>
      <c r="C20" s="98" t="str">
        <f t="shared" si="4"/>
        <v>Adulte</v>
      </c>
      <c r="D20" s="98" t="str">
        <f>D$10</f>
        <v>Mâle</v>
      </c>
      <c r="E20" s="98" t="str">
        <f>C$11</f>
        <v>Placebo</v>
      </c>
      <c r="F20" s="99">
        <f t="shared" si="3"/>
        <v>45.47</v>
      </c>
      <c r="G20" s="101">
        <v>45.97</v>
      </c>
      <c r="H20" s="102">
        <v>44.97</v>
      </c>
      <c r="I20" s="102"/>
      <c r="J20" s="101"/>
      <c r="K20" s="101"/>
      <c r="L20" s="19"/>
      <c r="O20" s="14" t="str">
        <f>C8</f>
        <v>ScheA</v>
      </c>
      <c r="P20" s="14" t="str">
        <f>D8</f>
        <v>ScheB</v>
      </c>
      <c r="Q20" s="14" t="str">
        <f>E8</f>
        <v>ScheC</v>
      </c>
      <c r="R20" s="24"/>
      <c r="S20" s="24"/>
    </row>
    <row r="21" spans="1:25" ht="13.8">
      <c r="A21" s="98">
        <v>8</v>
      </c>
      <c r="B21" s="98" t="str">
        <f t="shared" si="0"/>
        <v>ScheA</v>
      </c>
      <c r="C21" s="98" t="str">
        <f t="shared" si="4"/>
        <v>Adulte</v>
      </c>
      <c r="D21" s="98" t="str">
        <f>D$10</f>
        <v>Mâle</v>
      </c>
      <c r="E21" s="98" t="str">
        <f>D$11</f>
        <v>Traité</v>
      </c>
      <c r="F21" s="99">
        <f t="shared" si="3"/>
        <v>33.340000000000003</v>
      </c>
      <c r="G21" s="101">
        <v>32.840000000000003</v>
      </c>
      <c r="H21" s="102">
        <v>33.840000000000003</v>
      </c>
      <c r="I21" s="102"/>
      <c r="J21" s="101"/>
      <c r="K21" s="101"/>
      <c r="L21" s="19"/>
      <c r="M21" s="20" t="str">
        <f>C9</f>
        <v>Jeune</v>
      </c>
      <c r="N21" s="20" t="str">
        <f>B9</f>
        <v>Age</v>
      </c>
      <c r="O21" s="20">
        <f>AVERAGE(ua1b1)</f>
        <v>20.957500000000003</v>
      </c>
      <c r="P21" s="20">
        <f>AVERAGE(ua2b1)</f>
        <v>29.387500000000003</v>
      </c>
      <c r="Q21" s="20">
        <f>AVERAGE(ua3b1)</f>
        <v>73.12</v>
      </c>
      <c r="R21" s="24"/>
      <c r="U21" s="86"/>
    </row>
    <row r="22" spans="1:25" ht="13.8">
      <c r="A22" s="98">
        <v>9</v>
      </c>
      <c r="B22" s="98" t="str">
        <f>D$8</f>
        <v>ScheB</v>
      </c>
      <c r="C22" s="98" t="str">
        <f>C$9</f>
        <v>Jeune</v>
      </c>
      <c r="D22" s="98" t="str">
        <f>C$10</f>
        <v>Femelle</v>
      </c>
      <c r="E22" s="98" t="str">
        <f>C$11</f>
        <v>Placebo</v>
      </c>
      <c r="F22" s="99">
        <f t="shared" si="3"/>
        <v>39.06</v>
      </c>
      <c r="G22" s="101">
        <v>38.56</v>
      </c>
      <c r="H22" s="102">
        <v>39.56</v>
      </c>
      <c r="I22" s="102"/>
      <c r="J22" s="101"/>
      <c r="K22" s="101"/>
      <c r="L22" s="19"/>
      <c r="M22" s="14" t="str">
        <f>D9</f>
        <v>Adulte</v>
      </c>
      <c r="N22" s="14" t="str">
        <f>B9</f>
        <v>Age</v>
      </c>
      <c r="O22" s="20">
        <f>AVERAGE(ua1b2)</f>
        <v>34.865000000000002</v>
      </c>
      <c r="P22" s="20">
        <f>AVERAGE(ua2b2)</f>
        <v>34.164999999999999</v>
      </c>
      <c r="Q22" s="20">
        <f>AVERAGE(ua3b2)</f>
        <v>74.009999999999991</v>
      </c>
    </row>
    <row r="23" spans="1:25" ht="13.8">
      <c r="A23" s="98">
        <v>10</v>
      </c>
      <c r="B23" s="98" t="str">
        <f t="shared" ref="B23:B29" si="5">D$8</f>
        <v>ScheB</v>
      </c>
      <c r="C23" s="98" t="str">
        <f t="shared" ref="C23:C25" si="6">C$9</f>
        <v>Jeune</v>
      </c>
      <c r="D23" s="98" t="str">
        <f>C$10</f>
        <v>Femelle</v>
      </c>
      <c r="E23" s="98" t="str">
        <f>D$11</f>
        <v>Traité</v>
      </c>
      <c r="F23" s="99">
        <f t="shared" si="3"/>
        <v>27.06</v>
      </c>
      <c r="G23" s="101">
        <v>28.06</v>
      </c>
      <c r="H23" s="102">
        <v>26.06</v>
      </c>
      <c r="I23" s="102"/>
      <c r="J23" s="101"/>
      <c r="K23" s="101"/>
      <c r="L23" s="19"/>
      <c r="M23" s="10" t="s">
        <v>59</v>
      </c>
      <c r="Q23" s="20"/>
      <c r="R23" s="24"/>
      <c r="S23" s="24"/>
    </row>
    <row r="24" spans="1:25" ht="13.8">
      <c r="A24" s="98">
        <v>11</v>
      </c>
      <c r="B24" s="98" t="str">
        <f t="shared" si="5"/>
        <v>ScheB</v>
      </c>
      <c r="C24" s="98" t="str">
        <f t="shared" si="6"/>
        <v>Jeune</v>
      </c>
      <c r="D24" s="98" t="str">
        <f>D$10</f>
        <v>Mâle</v>
      </c>
      <c r="E24" s="98" t="str">
        <f>C$11</f>
        <v>Placebo</v>
      </c>
      <c r="F24" s="99">
        <f t="shared" si="3"/>
        <v>31.61</v>
      </c>
      <c r="G24" s="101">
        <v>32.11</v>
      </c>
      <c r="H24" s="102">
        <v>31.11</v>
      </c>
      <c r="I24" s="102"/>
      <c r="J24" s="101"/>
      <c r="K24" s="101"/>
      <c r="L24" s="19"/>
      <c r="M24" s="20" t="str">
        <f>C10</f>
        <v>Femelle</v>
      </c>
      <c r="N24" s="20" t="str">
        <f>B10</f>
        <v>Sexe</v>
      </c>
      <c r="O24" s="20">
        <f>AVERAGE(ua1c1)</f>
        <v>22.990000000000002</v>
      </c>
      <c r="P24" s="20">
        <f>AVERAGE(ua2c1)</f>
        <v>31.567500000000003</v>
      </c>
      <c r="Q24" s="20">
        <f>AVERAGE(ua3c1)</f>
        <v>72.902500000000003</v>
      </c>
      <c r="R24" s="24"/>
    </row>
    <row r="25" spans="1:25" ht="13.8">
      <c r="A25" s="98">
        <v>12</v>
      </c>
      <c r="B25" s="98" t="str">
        <f t="shared" si="5"/>
        <v>ScheB</v>
      </c>
      <c r="C25" s="98" t="str">
        <f t="shared" si="6"/>
        <v>Jeune</v>
      </c>
      <c r="D25" s="98" t="str">
        <f>D$10</f>
        <v>Mâle</v>
      </c>
      <c r="E25" s="98" t="str">
        <f>D$11</f>
        <v>Traité</v>
      </c>
      <c r="F25" s="99">
        <f t="shared" si="3"/>
        <v>19.82</v>
      </c>
      <c r="G25" s="101">
        <v>20.82</v>
      </c>
      <c r="H25" s="102">
        <v>18.82</v>
      </c>
      <c r="I25" s="102"/>
      <c r="J25" s="101"/>
      <c r="K25" s="101"/>
      <c r="L25" s="19"/>
      <c r="M25" s="20" t="str">
        <f>D10</f>
        <v>Mâle</v>
      </c>
      <c r="N25" s="20" t="str">
        <f>B10</f>
        <v>Sexe</v>
      </c>
      <c r="O25" s="20">
        <f>AVERAGE(ua1c2)</f>
        <v>32.832500000000003</v>
      </c>
      <c r="P25" s="20">
        <f>AVERAGE(ua2c2)</f>
        <v>31.984999999999999</v>
      </c>
      <c r="Q25" s="20">
        <f>AVERAGE(ua3c2)</f>
        <v>74.227499999999992</v>
      </c>
    </row>
    <row r="26" spans="1:25" ht="13.8">
      <c r="A26" s="98">
        <v>13</v>
      </c>
      <c r="B26" s="98" t="str">
        <f t="shared" si="5"/>
        <v>ScheB</v>
      </c>
      <c r="C26" s="98" t="str">
        <f>D$9</f>
        <v>Adulte</v>
      </c>
      <c r="D26" s="98" t="str">
        <f>C$10</f>
        <v>Femelle</v>
      </c>
      <c r="E26" s="98" t="str">
        <f>C$11</f>
        <v>Placebo</v>
      </c>
      <c r="F26" s="99">
        <f t="shared" si="3"/>
        <v>38.03</v>
      </c>
      <c r="G26" s="101">
        <v>39.53</v>
      </c>
      <c r="H26" s="102">
        <v>36.53</v>
      </c>
      <c r="I26" s="102"/>
      <c r="J26" s="101"/>
      <c r="K26" s="101"/>
      <c r="L26" s="19"/>
      <c r="M26" s="10" t="s">
        <v>59</v>
      </c>
      <c r="Q26" s="20"/>
    </row>
    <row r="27" spans="1:25" ht="13.8">
      <c r="A27" s="98">
        <v>14</v>
      </c>
      <c r="B27" s="98" t="str">
        <f t="shared" si="5"/>
        <v>ScheB</v>
      </c>
      <c r="C27" s="98" t="str">
        <f t="shared" ref="C27:C29" si="7">D$9</f>
        <v>Adulte</v>
      </c>
      <c r="D27" s="98" t="str">
        <f>C$10</f>
        <v>Femelle</v>
      </c>
      <c r="E27" s="98" t="str">
        <f>D$11</f>
        <v>Traité</v>
      </c>
      <c r="F27" s="99">
        <f t="shared" si="3"/>
        <v>22.12</v>
      </c>
      <c r="G27" s="101">
        <v>21.62</v>
      </c>
      <c r="H27" s="102">
        <v>22.62</v>
      </c>
      <c r="I27" s="102"/>
      <c r="J27" s="101"/>
      <c r="K27" s="101"/>
      <c r="L27" s="19"/>
      <c r="M27" s="14" t="str">
        <f>C11</f>
        <v>Placebo</v>
      </c>
      <c r="N27" s="20" t="str">
        <f>B11</f>
        <v>Traitement</v>
      </c>
      <c r="O27" s="20">
        <f>AVERAGE(ua1d1)</f>
        <v>33.602499999999999</v>
      </c>
      <c r="P27" s="20">
        <f>AVERAGE(ua2d1)</f>
        <v>38.57</v>
      </c>
      <c r="Q27" s="10">
        <f>AVERAGE(ua3d1)</f>
        <v>90.952500000000001</v>
      </c>
      <c r="S27" s="24"/>
    </row>
    <row r="28" spans="1:25" ht="13.8">
      <c r="A28" s="98">
        <v>15</v>
      </c>
      <c r="B28" s="98" t="str">
        <f t="shared" si="5"/>
        <v>ScheB</v>
      </c>
      <c r="C28" s="98" t="str">
        <f t="shared" si="7"/>
        <v>Adulte</v>
      </c>
      <c r="D28" s="98" t="str">
        <f>D$10</f>
        <v>Mâle</v>
      </c>
      <c r="E28" s="98" t="str">
        <f>C$11</f>
        <v>Placebo</v>
      </c>
      <c r="F28" s="99">
        <f>MEDIAN(G28:K28)</f>
        <v>45.58</v>
      </c>
      <c r="G28" s="101">
        <v>44.08</v>
      </c>
      <c r="H28" s="102">
        <v>47.08</v>
      </c>
      <c r="I28" s="102"/>
      <c r="J28" s="101"/>
      <c r="K28" s="101"/>
      <c r="L28" s="19"/>
      <c r="M28" s="14" t="str">
        <f>D11</f>
        <v>Traité</v>
      </c>
      <c r="N28" s="14" t="str">
        <f>B11</f>
        <v>Traitement</v>
      </c>
      <c r="O28" s="20">
        <f>AVERAGE(ua1d2)</f>
        <v>22.220000000000002</v>
      </c>
      <c r="P28" s="20">
        <f>AVERAGE(ua2d2)</f>
        <v>24.982500000000002</v>
      </c>
      <c r="Q28" s="10">
        <f>AVERAGE(ua3d2)</f>
        <v>56.177500000000002</v>
      </c>
      <c r="R28" s="24"/>
    </row>
    <row r="29" spans="1:25" ht="13.8">
      <c r="A29" s="98">
        <v>16</v>
      </c>
      <c r="B29" s="98" t="str">
        <f t="shared" si="5"/>
        <v>ScheB</v>
      </c>
      <c r="C29" s="98" t="str">
        <f t="shared" si="7"/>
        <v>Adulte</v>
      </c>
      <c r="D29" s="98" t="str">
        <f>D$10</f>
        <v>Mâle</v>
      </c>
      <c r="E29" s="98" t="str">
        <f>D$11</f>
        <v>Traité</v>
      </c>
      <c r="F29" s="99">
        <f>MEDIAN(G29:K29)</f>
        <v>30.93</v>
      </c>
      <c r="G29" s="101">
        <v>30.43</v>
      </c>
      <c r="H29" s="102">
        <v>31.43</v>
      </c>
      <c r="I29" s="102"/>
      <c r="J29" s="101"/>
      <c r="K29" s="101"/>
      <c r="L29" s="19"/>
      <c r="Q29" s="23"/>
      <c r="R29" s="24"/>
    </row>
    <row r="30" spans="1:25" ht="13.8">
      <c r="A30" s="98">
        <v>17</v>
      </c>
      <c r="B30" s="98" t="str">
        <f>E$8</f>
        <v>ScheC</v>
      </c>
      <c r="C30" s="98" t="str">
        <f>C$9</f>
        <v>Jeune</v>
      </c>
      <c r="D30" s="98" t="str">
        <f>C$10</f>
        <v>Femelle</v>
      </c>
      <c r="E30" s="98" t="str">
        <f>C$11</f>
        <v>Placebo</v>
      </c>
      <c r="F30" s="99">
        <f t="shared" ref="F30:F35" si="8">MEDIAN(G30:K30)</f>
        <v>92.74</v>
      </c>
      <c r="G30" s="101">
        <v>92.24</v>
      </c>
      <c r="H30" s="102">
        <v>93.24</v>
      </c>
      <c r="I30" s="102"/>
      <c r="J30" s="101"/>
      <c r="K30" s="101"/>
      <c r="L30" s="19"/>
      <c r="O30" s="23"/>
      <c r="P30" s="23"/>
      <c r="Q30" s="23"/>
      <c r="R30" s="24"/>
    </row>
    <row r="31" spans="1:25" ht="13.8">
      <c r="A31" s="98">
        <v>18</v>
      </c>
      <c r="B31" s="98" t="str">
        <f t="shared" ref="B31:B37" si="9">E$8</f>
        <v>ScheC</v>
      </c>
      <c r="C31" s="98" t="str">
        <f t="shared" ref="C31:C33" si="10">C$9</f>
        <v>Jeune</v>
      </c>
      <c r="D31" s="98" t="str">
        <f>C$10</f>
        <v>Femelle</v>
      </c>
      <c r="E31" s="98" t="str">
        <f>D$11</f>
        <v>Traité</v>
      </c>
      <c r="F31" s="99">
        <f t="shared" si="8"/>
        <v>51.58</v>
      </c>
      <c r="G31" s="101">
        <v>52.58</v>
      </c>
      <c r="H31" s="102">
        <v>50.58</v>
      </c>
      <c r="I31" s="102"/>
      <c r="J31" s="101"/>
      <c r="K31" s="101"/>
      <c r="L31" s="19"/>
      <c r="O31" s="23"/>
      <c r="P31" s="23"/>
      <c r="Q31" s="23"/>
      <c r="R31" s="24"/>
    </row>
    <row r="32" spans="1:25" ht="13.8">
      <c r="A32" s="98">
        <v>19</v>
      </c>
      <c r="B32" s="98" t="str">
        <f t="shared" si="9"/>
        <v>ScheC</v>
      </c>
      <c r="C32" s="98" t="str">
        <f t="shared" si="10"/>
        <v>Jeune</v>
      </c>
      <c r="D32" s="98" t="str">
        <f>D$10</f>
        <v>Mâle</v>
      </c>
      <c r="E32" s="98" t="str">
        <f>C$11</f>
        <v>Placebo</v>
      </c>
      <c r="F32" s="99">
        <f t="shared" si="8"/>
        <v>91.61</v>
      </c>
      <c r="G32" s="101">
        <v>91.61</v>
      </c>
      <c r="H32" s="102">
        <v>91.61</v>
      </c>
      <c r="I32" s="102"/>
      <c r="J32" s="101"/>
      <c r="K32" s="101"/>
      <c r="L32" s="19"/>
      <c r="O32" s="23"/>
      <c r="P32" s="23"/>
      <c r="Q32" s="23"/>
      <c r="R32" s="24"/>
    </row>
    <row r="33" spans="1:22" ht="13.8">
      <c r="A33" s="98">
        <v>20</v>
      </c>
      <c r="B33" s="98" t="str">
        <f t="shared" si="9"/>
        <v>ScheC</v>
      </c>
      <c r="C33" s="98" t="str">
        <f t="shared" si="10"/>
        <v>Jeune</v>
      </c>
      <c r="D33" s="98" t="str">
        <f>D$10</f>
        <v>Mâle</v>
      </c>
      <c r="E33" s="98" t="str">
        <f>D$11</f>
        <v>Traité</v>
      </c>
      <c r="F33" s="99">
        <f t="shared" si="8"/>
        <v>56.55</v>
      </c>
      <c r="G33" s="101">
        <v>56.55</v>
      </c>
      <c r="H33" s="102">
        <v>56.55</v>
      </c>
      <c r="I33" s="102"/>
      <c r="J33" s="101"/>
      <c r="K33" s="101"/>
      <c r="L33" s="19"/>
      <c r="O33" s="23"/>
      <c r="P33" s="23"/>
      <c r="Q33" s="23"/>
      <c r="R33" s="24"/>
    </row>
    <row r="34" spans="1:22" ht="13.8">
      <c r="A34" s="98">
        <v>21</v>
      </c>
      <c r="B34" s="98" t="str">
        <f t="shared" si="9"/>
        <v>ScheC</v>
      </c>
      <c r="C34" s="98" t="str">
        <f>D$9</f>
        <v>Adulte</v>
      </c>
      <c r="D34" s="98" t="str">
        <f>C$10</f>
        <v>Femelle</v>
      </c>
      <c r="E34" s="98" t="str">
        <f>C$11</f>
        <v>Placebo</v>
      </c>
      <c r="F34" s="99">
        <f t="shared" si="8"/>
        <v>90.17</v>
      </c>
      <c r="G34" s="101">
        <v>89.17</v>
      </c>
      <c r="H34" s="102">
        <v>91.17</v>
      </c>
      <c r="I34" s="102"/>
      <c r="J34" s="101"/>
      <c r="K34" s="101"/>
      <c r="L34" s="19"/>
      <c r="O34" s="23"/>
      <c r="P34" s="23"/>
      <c r="Q34" s="23"/>
      <c r="R34" s="24"/>
    </row>
    <row r="35" spans="1:22" ht="13.8">
      <c r="A35" s="98">
        <v>22</v>
      </c>
      <c r="B35" s="98" t="str">
        <f t="shared" si="9"/>
        <v>ScheC</v>
      </c>
      <c r="C35" s="98" t="str">
        <f t="shared" ref="C35:C37" si="11">D$9</f>
        <v>Adulte</v>
      </c>
      <c r="D35" s="98" t="str">
        <f>C$10</f>
        <v>Femelle</v>
      </c>
      <c r="E35" s="98" t="str">
        <f>D$11</f>
        <v>Traité</v>
      </c>
      <c r="F35" s="99">
        <f t="shared" si="8"/>
        <v>57.12</v>
      </c>
      <c r="G35" s="101">
        <v>58.62</v>
      </c>
      <c r="H35" s="102">
        <v>55.62</v>
      </c>
      <c r="I35" s="102"/>
      <c r="J35" s="101"/>
      <c r="K35" s="101"/>
      <c r="L35" s="19"/>
      <c r="O35" s="23"/>
      <c r="P35" s="23"/>
      <c r="Q35" s="23"/>
      <c r="R35" s="24"/>
    </row>
    <row r="36" spans="1:22" ht="13.8">
      <c r="A36" s="98">
        <v>23</v>
      </c>
      <c r="B36" s="98" t="str">
        <f t="shared" si="9"/>
        <v>ScheC</v>
      </c>
      <c r="C36" s="98" t="str">
        <f t="shared" si="11"/>
        <v>Adulte</v>
      </c>
      <c r="D36" s="98" t="str">
        <f>D$10</f>
        <v>Mâle</v>
      </c>
      <c r="E36" s="98" t="str">
        <f>C$11</f>
        <v>Placebo</v>
      </c>
      <c r="F36" s="99">
        <f>MEDIAN(G36:K36)</f>
        <v>89.29</v>
      </c>
      <c r="G36" s="101">
        <v>89.79</v>
      </c>
      <c r="H36" s="102">
        <v>88.79</v>
      </c>
      <c r="I36" s="102"/>
      <c r="J36" s="101"/>
      <c r="K36" s="101"/>
      <c r="L36" s="19"/>
      <c r="O36" s="23"/>
      <c r="P36" s="23"/>
      <c r="Q36" s="23"/>
      <c r="R36" s="24"/>
    </row>
    <row r="37" spans="1:22" ht="13.8">
      <c r="A37" s="98">
        <v>24</v>
      </c>
      <c r="B37" s="98" t="str">
        <f t="shared" si="9"/>
        <v>ScheC</v>
      </c>
      <c r="C37" s="98" t="str">
        <f t="shared" si="11"/>
        <v>Adulte</v>
      </c>
      <c r="D37" s="98" t="str">
        <f>D$10</f>
        <v>Mâle</v>
      </c>
      <c r="E37" s="98" t="str">
        <f>D$11</f>
        <v>Traité</v>
      </c>
      <c r="F37" s="99">
        <f>MEDIAN(G37:K37)</f>
        <v>59.46</v>
      </c>
      <c r="G37" s="101">
        <v>59.96</v>
      </c>
      <c r="H37" s="102">
        <v>58.96</v>
      </c>
      <c r="I37" s="102"/>
      <c r="J37" s="101"/>
      <c r="K37" s="101"/>
      <c r="L37" s="19"/>
      <c r="O37" s="23" t="str">
        <f>B9</f>
        <v>Age</v>
      </c>
      <c r="P37" s="23" t="str">
        <f>B9</f>
        <v>Age</v>
      </c>
      <c r="Q37" s="23"/>
      <c r="R37" s="24"/>
    </row>
    <row r="38" spans="1:22" ht="13.8">
      <c r="B38" s="25"/>
      <c r="C38" s="25"/>
      <c r="D38" s="25"/>
      <c r="E38" s="25"/>
      <c r="F38" s="25"/>
      <c r="G38" s="87"/>
      <c r="H38" s="88"/>
      <c r="I38" s="87"/>
      <c r="J38" s="87"/>
      <c r="K38" s="89"/>
      <c r="L38" s="89"/>
      <c r="O38" s="23" t="str">
        <f>C9</f>
        <v>Jeune</v>
      </c>
      <c r="P38" s="23" t="str">
        <f>D9</f>
        <v>Adulte</v>
      </c>
      <c r="Q38" s="23"/>
    </row>
    <row r="39" spans="1:22" ht="13.8">
      <c r="A39" s="62" t="s">
        <v>27</v>
      </c>
      <c r="B39" s="63" t="s">
        <v>28</v>
      </c>
      <c r="C39" s="63" t="s">
        <v>29</v>
      </c>
      <c r="D39" s="63" t="s">
        <v>30</v>
      </c>
      <c r="E39" s="63" t="s">
        <v>47</v>
      </c>
      <c r="F39" s="63" t="s">
        <v>53</v>
      </c>
      <c r="G39" s="26"/>
      <c r="H39" s="242" t="s">
        <v>205</v>
      </c>
      <c r="I39" s="243"/>
      <c r="J39" s="244"/>
      <c r="K39" s="26"/>
      <c r="L39" s="26"/>
      <c r="M39" s="14" t="str">
        <f>C10</f>
        <v>Femelle</v>
      </c>
      <c r="N39" s="14" t="str">
        <f>B10</f>
        <v>Sexe</v>
      </c>
      <c r="O39" s="22">
        <f>AVERAGE(ub1c1)</f>
        <v>40.291666666666664</v>
      </c>
      <c r="P39" s="22">
        <f>AVERAGE(ub2c1)</f>
        <v>44.681666666666672</v>
      </c>
    </row>
    <row r="40" spans="1:22" ht="13.8">
      <c r="A40" s="62" t="s">
        <v>31</v>
      </c>
      <c r="B40" s="64">
        <f>AVERAGE(F14:F37)</f>
        <v>44.417499999999997</v>
      </c>
      <c r="C40" s="64">
        <f>AVERAGE(_UA1)-B40</f>
        <v>-16.506249999999994</v>
      </c>
      <c r="D40" s="64">
        <f>AVERAGE(_UB1)-B40</f>
        <v>-3.2624999999999957</v>
      </c>
      <c r="E40" s="64">
        <f>AVERAGE(_UC1)-B40</f>
        <v>-1.9308333333333252</v>
      </c>
      <c r="F40" s="64">
        <f>AVERAGE(_UD1)-B40</f>
        <v>9.9575000000000031</v>
      </c>
      <c r="G40" s="27"/>
      <c r="H40" s="245" t="s">
        <v>206</v>
      </c>
      <c r="I40" s="246"/>
      <c r="J40" s="247"/>
      <c r="K40" s="27"/>
      <c r="L40" s="27"/>
      <c r="M40" s="14" t="str">
        <f>D10</f>
        <v>Mâle</v>
      </c>
      <c r="N40" s="14" t="str">
        <f>B10</f>
        <v>Sexe</v>
      </c>
      <c r="O40" s="22">
        <f>AVERAGE(ub1c2)</f>
        <v>42.018333333333338</v>
      </c>
      <c r="P40" s="22">
        <f>AVERAGE(ub2c2)</f>
        <v>50.678333333333335</v>
      </c>
      <c r="S40" s="24"/>
    </row>
    <row r="41" spans="1:22" ht="13.8">
      <c r="A41" s="62" t="s">
        <v>32</v>
      </c>
      <c r="B41" s="64">
        <f>AVERAGE(F14:F37)</f>
        <v>44.417499999999997</v>
      </c>
      <c r="C41" s="64">
        <f>AVERAGE(_UA2)-B41</f>
        <v>-12.641249999999992</v>
      </c>
      <c r="D41" s="64">
        <f>AVERAGE(_UB2)-B41</f>
        <v>3.2625000000000099</v>
      </c>
      <c r="E41" s="64">
        <f>AVERAGE(_UC2)-B41</f>
        <v>1.9308333333333394</v>
      </c>
      <c r="F41" s="64">
        <f>AVERAGE(_UD2)-B41</f>
        <v>-9.957499999999996</v>
      </c>
      <c r="G41" s="27"/>
      <c r="H41" s="27"/>
      <c r="I41" s="27"/>
      <c r="J41" s="27"/>
      <c r="K41" s="27"/>
      <c r="L41" s="27"/>
      <c r="M41" s="14" t="s">
        <v>59</v>
      </c>
      <c r="N41" s="14"/>
      <c r="O41" s="22"/>
      <c r="P41" s="22"/>
      <c r="Q41" s="14"/>
      <c r="R41" s="24"/>
    </row>
    <row r="42" spans="1:22" s="20" customFormat="1" ht="13.8">
      <c r="A42" s="258" t="s">
        <v>33</v>
      </c>
      <c r="B42" s="64">
        <f>AVERAGE(F14:F37)</f>
        <v>44.417499999999997</v>
      </c>
      <c r="C42" s="64">
        <f>AVERAGE(_UA3)-B42</f>
        <v>29.147500000000015</v>
      </c>
      <c r="D42" s="259"/>
      <c r="E42" s="259"/>
      <c r="F42" s="259"/>
      <c r="G42" s="90"/>
      <c r="H42" s="90"/>
      <c r="I42" s="90"/>
      <c r="J42" s="90"/>
      <c r="K42" s="90"/>
      <c r="L42" s="90"/>
      <c r="M42" s="14" t="str">
        <f>C11</f>
        <v>Placebo</v>
      </c>
      <c r="N42" s="14" t="str">
        <f>B11</f>
        <v>Traitement</v>
      </c>
      <c r="O42" s="22">
        <f>AVERAGE(ub1d1)</f>
        <v>50.96</v>
      </c>
      <c r="P42" s="22">
        <f>AVERAGE(ub2d1)</f>
        <v>57.79</v>
      </c>
      <c r="R42" s="21"/>
    </row>
    <row r="43" spans="1:22" s="20" customFormat="1" ht="19.5" customHeight="1">
      <c r="B43" s="91"/>
      <c r="C43" s="28"/>
      <c r="D43" s="28"/>
      <c r="E43" s="28"/>
      <c r="F43" s="28"/>
      <c r="G43" s="91"/>
      <c r="H43" s="91"/>
      <c r="I43" s="91"/>
      <c r="J43" s="91"/>
      <c r="K43" s="91"/>
      <c r="L43" s="91"/>
      <c r="M43" s="14" t="str">
        <f>C11</f>
        <v>Placebo</v>
      </c>
      <c r="N43" s="14" t="str">
        <f>B11</f>
        <v>Traitement</v>
      </c>
      <c r="O43" s="22">
        <f>AVERAGE(ub1d2)</f>
        <v>31.350000000000005</v>
      </c>
      <c r="P43" s="22">
        <f>AVERAGE(ub2d2)</f>
        <v>37.57</v>
      </c>
    </row>
    <row r="44" spans="1:22" s="20" customFormat="1" ht="13.5" customHeight="1">
      <c r="A44" s="105" t="s">
        <v>172</v>
      </c>
      <c r="B44" s="91"/>
      <c r="C44" s="28"/>
      <c r="D44" s="91"/>
      <c r="E44" s="91"/>
      <c r="F44" s="91"/>
      <c r="G44" s="91"/>
      <c r="H44" s="91"/>
      <c r="I44" s="91"/>
      <c r="J44" s="91"/>
      <c r="K44" s="91"/>
      <c r="L44" s="91"/>
    </row>
    <row r="45" spans="1:22" ht="13.8">
      <c r="A45" s="29"/>
      <c r="H45" s="25"/>
      <c r="I45" s="25"/>
      <c r="J45" s="25"/>
      <c r="K45" s="25"/>
      <c r="L45" s="25"/>
      <c r="M45" s="14"/>
      <c r="N45" s="14"/>
      <c r="O45" s="14"/>
      <c r="P45" s="14"/>
      <c r="Q45" s="14"/>
      <c r="U45" s="14"/>
      <c r="V45" s="14"/>
    </row>
    <row r="46" spans="1:22" ht="13.8">
      <c r="A46" s="29"/>
      <c r="B46" s="119" t="s">
        <v>250</v>
      </c>
      <c r="C46" s="119" t="s">
        <v>187</v>
      </c>
      <c r="D46" s="119" t="s">
        <v>188</v>
      </c>
      <c r="E46" s="119" t="s">
        <v>211</v>
      </c>
      <c r="F46" s="119" t="s">
        <v>226</v>
      </c>
      <c r="G46" s="119" t="s">
        <v>189</v>
      </c>
      <c r="H46" s="119" t="s">
        <v>190</v>
      </c>
      <c r="I46" s="25"/>
      <c r="J46" s="25"/>
      <c r="K46" s="25"/>
      <c r="L46" s="25"/>
      <c r="M46" s="14"/>
      <c r="N46" s="14"/>
      <c r="O46" s="14"/>
      <c r="P46" s="14"/>
      <c r="Q46" s="14"/>
      <c r="U46" s="14"/>
      <c r="V46" s="14"/>
    </row>
    <row r="47" spans="1:22" ht="13.8">
      <c r="A47" s="29"/>
      <c r="B47" s="113" t="s">
        <v>21</v>
      </c>
      <c r="C47" s="113" t="s">
        <v>160</v>
      </c>
      <c r="D47" s="109" t="s">
        <v>163</v>
      </c>
      <c r="E47" s="75" t="s">
        <v>166</v>
      </c>
      <c r="F47" s="108" t="s">
        <v>168</v>
      </c>
      <c r="G47" s="75">
        <f t="shared" ref="G47:G70" si="12">IF(G14="","",G14)</f>
        <v>21</v>
      </c>
      <c r="H47" s="256" t="str">
        <f t="shared" ref="H47:H110" si="13">IF(G47="","",CONCATENATE(C47,"_",D47,"_",E47,"_",F47))</f>
        <v>A1_B1_C1_D1</v>
      </c>
      <c r="I47" s="25"/>
      <c r="J47" s="25"/>
      <c r="K47" s="25"/>
      <c r="L47" s="25"/>
      <c r="M47" s="14"/>
      <c r="N47" s="14"/>
      <c r="O47" s="14"/>
      <c r="P47" s="14"/>
      <c r="Q47" s="14"/>
      <c r="U47" s="14"/>
      <c r="V47" s="14"/>
    </row>
    <row r="48" spans="1:22" ht="13.8">
      <c r="A48" s="29"/>
      <c r="B48" s="77" t="s">
        <v>21</v>
      </c>
      <c r="C48" s="77" t="s">
        <v>160</v>
      </c>
      <c r="D48" s="66" t="s">
        <v>163</v>
      </c>
      <c r="E48" s="76" t="s">
        <v>166</v>
      </c>
      <c r="F48" s="65" t="s">
        <v>169</v>
      </c>
      <c r="G48" s="76">
        <f t="shared" si="12"/>
        <v>12.31</v>
      </c>
      <c r="H48" s="255" t="str">
        <f t="shared" si="13"/>
        <v>A1_B1_C1_D2</v>
      </c>
      <c r="I48" s="25"/>
      <c r="J48" s="25"/>
      <c r="K48" s="25"/>
      <c r="L48" s="25"/>
      <c r="M48" s="14"/>
      <c r="N48" s="14"/>
      <c r="S48" s="14"/>
      <c r="T48" s="14"/>
    </row>
    <row r="49" spans="1:20" ht="13.8">
      <c r="A49" s="29"/>
      <c r="B49" s="77" t="s">
        <v>21</v>
      </c>
      <c r="C49" s="77" t="s">
        <v>160</v>
      </c>
      <c r="D49" s="66" t="s">
        <v>163</v>
      </c>
      <c r="E49" s="76" t="s">
        <v>167</v>
      </c>
      <c r="F49" s="65" t="s">
        <v>168</v>
      </c>
      <c r="G49" s="76">
        <f t="shared" si="12"/>
        <v>32.74</v>
      </c>
      <c r="H49" s="255" t="str">
        <f t="shared" si="13"/>
        <v>A1_B1_C2_D1</v>
      </c>
      <c r="I49" s="25"/>
      <c r="J49" s="25"/>
      <c r="K49" s="25"/>
      <c r="L49" s="25"/>
      <c r="M49" s="14"/>
      <c r="N49" s="14"/>
      <c r="S49" s="92"/>
      <c r="T49" s="14"/>
    </row>
    <row r="50" spans="1:20" ht="13.8">
      <c r="A50" s="29"/>
      <c r="B50" s="77" t="s">
        <v>21</v>
      </c>
      <c r="C50" s="77" t="s">
        <v>160</v>
      </c>
      <c r="D50" s="66" t="s">
        <v>163</v>
      </c>
      <c r="E50" s="76" t="s">
        <v>167</v>
      </c>
      <c r="F50" s="65" t="s">
        <v>169</v>
      </c>
      <c r="G50" s="76">
        <f t="shared" si="12"/>
        <v>20.28</v>
      </c>
      <c r="H50" s="255" t="str">
        <f t="shared" si="13"/>
        <v>A1_B1_C2_D2</v>
      </c>
      <c r="I50" s="25"/>
      <c r="J50" s="25"/>
      <c r="K50" s="25"/>
      <c r="L50" s="25"/>
      <c r="M50" s="14"/>
      <c r="N50" s="14"/>
      <c r="S50" s="92"/>
      <c r="T50" s="14"/>
    </row>
    <row r="51" spans="1:20">
      <c r="A51" s="25"/>
      <c r="B51" s="77" t="s">
        <v>21</v>
      </c>
      <c r="C51" s="77" t="s">
        <v>160</v>
      </c>
      <c r="D51" s="66" t="s">
        <v>164</v>
      </c>
      <c r="E51" s="76" t="s">
        <v>166</v>
      </c>
      <c r="F51" s="65" t="s">
        <v>168</v>
      </c>
      <c r="G51" s="76">
        <f t="shared" si="12"/>
        <v>38.700000000000003</v>
      </c>
      <c r="H51" s="255" t="str">
        <f t="shared" si="13"/>
        <v>A1_B2_C1_D1</v>
      </c>
      <c r="I51" s="25"/>
      <c r="J51" s="25"/>
      <c r="K51" s="25"/>
      <c r="L51" s="25"/>
      <c r="O51" s="14"/>
      <c r="P51" s="14"/>
      <c r="Q51" s="14"/>
      <c r="R51" s="24"/>
    </row>
    <row r="52" spans="1:20" ht="13.8">
      <c r="A52" s="29"/>
      <c r="B52" s="77" t="s">
        <v>21</v>
      </c>
      <c r="C52" s="77" t="s">
        <v>160</v>
      </c>
      <c r="D52" s="66" t="s">
        <v>164</v>
      </c>
      <c r="E52" s="76" t="s">
        <v>166</v>
      </c>
      <c r="F52" s="65" t="s">
        <v>169</v>
      </c>
      <c r="G52" s="76">
        <f t="shared" si="12"/>
        <v>21.45</v>
      </c>
      <c r="H52" s="255" t="str">
        <f t="shared" si="13"/>
        <v>A1_B2_C1_D2</v>
      </c>
      <c r="I52" s="25"/>
      <c r="J52" s="25"/>
      <c r="K52" s="25"/>
      <c r="L52" s="25"/>
      <c r="M52" s="20"/>
      <c r="N52" s="20"/>
      <c r="O52" s="14" t="str">
        <f>B10</f>
        <v>Sexe</v>
      </c>
      <c r="P52" s="14" t="str">
        <f>B10</f>
        <v>Sexe</v>
      </c>
      <c r="Q52" s="20"/>
      <c r="S52" s="14"/>
      <c r="T52" s="14"/>
    </row>
    <row r="53" spans="1:20" ht="13.8">
      <c r="A53" s="29"/>
      <c r="B53" s="77" t="s">
        <v>21</v>
      </c>
      <c r="C53" s="77" t="s">
        <v>160</v>
      </c>
      <c r="D53" s="66" t="s">
        <v>164</v>
      </c>
      <c r="E53" s="76" t="s">
        <v>167</v>
      </c>
      <c r="F53" s="65" t="s">
        <v>168</v>
      </c>
      <c r="G53" s="76">
        <f t="shared" si="12"/>
        <v>45.97</v>
      </c>
      <c r="H53" s="255" t="str">
        <f t="shared" si="13"/>
        <v>A1_B2_C2_D1</v>
      </c>
      <c r="I53" s="25"/>
      <c r="J53" s="25"/>
      <c r="K53" s="25"/>
      <c r="L53" s="25"/>
      <c r="M53" s="20"/>
      <c r="N53" s="20"/>
      <c r="O53" s="14" t="str">
        <f>C10</f>
        <v>Femelle</v>
      </c>
      <c r="P53" s="14" t="str">
        <f>D10</f>
        <v>Mâle</v>
      </c>
      <c r="Q53" s="20"/>
      <c r="S53" s="14"/>
      <c r="T53" s="14"/>
    </row>
    <row r="54" spans="1:20" ht="13.8">
      <c r="A54" s="29"/>
      <c r="B54" s="77" t="s">
        <v>21</v>
      </c>
      <c r="C54" s="77" t="s">
        <v>160</v>
      </c>
      <c r="D54" s="66" t="s">
        <v>164</v>
      </c>
      <c r="E54" s="76" t="s">
        <v>167</v>
      </c>
      <c r="F54" s="65" t="s">
        <v>169</v>
      </c>
      <c r="G54" s="76">
        <f t="shared" si="12"/>
        <v>32.840000000000003</v>
      </c>
      <c r="H54" s="255" t="str">
        <f t="shared" si="13"/>
        <v>A1_B2_C2_D2</v>
      </c>
      <c r="I54" s="25"/>
      <c r="J54" s="25"/>
      <c r="K54" s="25"/>
      <c r="L54" s="25"/>
      <c r="M54" s="14" t="str">
        <f>C11</f>
        <v>Placebo</v>
      </c>
      <c r="N54" s="14" t="str">
        <f>B11</f>
        <v>Traitement</v>
      </c>
      <c r="O54" s="20">
        <f>AVERAGE(uc1d1)</f>
        <v>52.95000000000001</v>
      </c>
      <c r="P54" s="20">
        <f>AVERAGE(uc2d1)</f>
        <v>55.800000000000004</v>
      </c>
      <c r="Q54" s="20"/>
      <c r="S54" s="14"/>
      <c r="T54" s="14"/>
    </row>
    <row r="55" spans="1:20" ht="13.8">
      <c r="A55" s="29"/>
      <c r="B55" s="77" t="s">
        <v>21</v>
      </c>
      <c r="C55" s="77" t="s">
        <v>161</v>
      </c>
      <c r="D55" s="66" t="s">
        <v>163</v>
      </c>
      <c r="E55" s="76" t="s">
        <v>166</v>
      </c>
      <c r="F55" s="65" t="s">
        <v>168</v>
      </c>
      <c r="G55" s="76">
        <f t="shared" si="12"/>
        <v>38.56</v>
      </c>
      <c r="H55" s="255" t="str">
        <f t="shared" si="13"/>
        <v>A2_B1_C1_D1</v>
      </c>
      <c r="I55" s="25"/>
      <c r="J55" s="25"/>
      <c r="K55" s="25"/>
      <c r="L55" s="25"/>
      <c r="M55" s="14" t="str">
        <f>D11</f>
        <v>Traité</v>
      </c>
      <c r="N55" s="14" t="str">
        <f>B11</f>
        <v>Traitement</v>
      </c>
      <c r="O55" s="20">
        <f>AVERAGE(uc1d2)</f>
        <v>32.023333333333333</v>
      </c>
      <c r="P55" s="20">
        <f>AVERAGE(uc2d2)</f>
        <v>36.896666666666668</v>
      </c>
      <c r="Q55" s="20"/>
    </row>
    <row r="56" spans="1:20" ht="13.8">
      <c r="A56" s="29"/>
      <c r="B56" s="77" t="s">
        <v>21</v>
      </c>
      <c r="C56" s="77" t="s">
        <v>161</v>
      </c>
      <c r="D56" s="66" t="s">
        <v>163</v>
      </c>
      <c r="E56" s="76" t="s">
        <v>166</v>
      </c>
      <c r="F56" s="65" t="s">
        <v>169</v>
      </c>
      <c r="G56" s="76">
        <f t="shared" si="12"/>
        <v>28.06</v>
      </c>
      <c r="H56" s="255" t="str">
        <f t="shared" si="13"/>
        <v>A2_B1_C1_D2</v>
      </c>
      <c r="I56" s="25"/>
      <c r="J56" s="25"/>
      <c r="K56" s="25"/>
      <c r="L56" s="25"/>
      <c r="M56" s="20"/>
      <c r="N56" s="20"/>
      <c r="O56" s="20"/>
      <c r="P56" s="20"/>
      <c r="Q56" s="20"/>
    </row>
    <row r="57" spans="1:20" ht="13.8">
      <c r="A57" s="29"/>
      <c r="B57" s="77" t="s">
        <v>21</v>
      </c>
      <c r="C57" s="77" t="s">
        <v>161</v>
      </c>
      <c r="D57" s="66" t="s">
        <v>163</v>
      </c>
      <c r="E57" s="76" t="s">
        <v>167</v>
      </c>
      <c r="F57" s="65" t="s">
        <v>168</v>
      </c>
      <c r="G57" s="76">
        <f t="shared" si="12"/>
        <v>32.11</v>
      </c>
      <c r="H57" s="255" t="str">
        <f t="shared" si="13"/>
        <v>A2_B1_C2_D1</v>
      </c>
      <c r="I57" s="25"/>
      <c r="J57" s="25"/>
      <c r="K57" s="25"/>
      <c r="L57" s="25"/>
      <c r="M57" s="14"/>
    </row>
    <row r="58" spans="1:20" ht="13.8">
      <c r="A58" s="29"/>
      <c r="B58" s="77" t="s">
        <v>21</v>
      </c>
      <c r="C58" s="77" t="s">
        <v>161</v>
      </c>
      <c r="D58" s="66" t="s">
        <v>163</v>
      </c>
      <c r="E58" s="76" t="s">
        <v>167</v>
      </c>
      <c r="F58" s="65" t="s">
        <v>169</v>
      </c>
      <c r="G58" s="76">
        <f t="shared" si="12"/>
        <v>20.82</v>
      </c>
      <c r="H58" s="255" t="str">
        <f t="shared" si="13"/>
        <v>A2_B1_C2_D2</v>
      </c>
      <c r="I58" s="25"/>
      <c r="J58" s="25"/>
      <c r="K58" s="25"/>
      <c r="L58" s="25"/>
      <c r="M58" s="14"/>
      <c r="S58" s="24"/>
    </row>
    <row r="59" spans="1:20" ht="13.8">
      <c r="A59" s="29"/>
      <c r="B59" s="77" t="s">
        <v>21</v>
      </c>
      <c r="C59" s="77" t="s">
        <v>161</v>
      </c>
      <c r="D59" s="66" t="s">
        <v>164</v>
      </c>
      <c r="E59" s="76" t="s">
        <v>166</v>
      </c>
      <c r="F59" s="65" t="s">
        <v>168</v>
      </c>
      <c r="G59" s="76">
        <f t="shared" si="12"/>
        <v>39.53</v>
      </c>
      <c r="H59" s="255" t="str">
        <f t="shared" si="13"/>
        <v>A2_B2_C1_D1</v>
      </c>
      <c r="I59" s="25"/>
      <c r="J59" s="25"/>
      <c r="K59" s="25"/>
      <c r="L59" s="25"/>
      <c r="M59" s="14"/>
      <c r="S59" s="24"/>
    </row>
    <row r="60" spans="1:20" ht="13.8">
      <c r="A60" s="29"/>
      <c r="B60" s="77" t="s">
        <v>21</v>
      </c>
      <c r="C60" s="77" t="s">
        <v>161</v>
      </c>
      <c r="D60" s="66" t="s">
        <v>164</v>
      </c>
      <c r="E60" s="76" t="s">
        <v>166</v>
      </c>
      <c r="F60" s="65" t="s">
        <v>169</v>
      </c>
      <c r="G60" s="76">
        <f t="shared" si="12"/>
        <v>21.62</v>
      </c>
      <c r="H60" s="255" t="str">
        <f t="shared" si="13"/>
        <v>A2_B2_C1_D2</v>
      </c>
      <c r="I60" s="25"/>
      <c r="J60" s="25"/>
      <c r="K60" s="25"/>
      <c r="L60" s="25"/>
      <c r="M60" s="14"/>
      <c r="N60" s="14"/>
      <c r="O60" s="14"/>
      <c r="P60" s="14"/>
      <c r="Q60" s="14"/>
      <c r="R60" s="24"/>
    </row>
    <row r="61" spans="1:20" ht="13.8">
      <c r="A61" s="29"/>
      <c r="B61" s="77" t="s">
        <v>21</v>
      </c>
      <c r="C61" s="77" t="s">
        <v>161</v>
      </c>
      <c r="D61" s="66" t="s">
        <v>164</v>
      </c>
      <c r="E61" s="76" t="s">
        <v>167</v>
      </c>
      <c r="F61" s="65" t="s">
        <v>168</v>
      </c>
      <c r="G61" s="76">
        <f t="shared" si="12"/>
        <v>44.08</v>
      </c>
      <c r="H61" s="255" t="str">
        <f t="shared" si="13"/>
        <v>A2_B2_C2_D1</v>
      </c>
      <c r="I61" s="25"/>
      <c r="J61" s="25"/>
      <c r="K61" s="25"/>
      <c r="L61" s="25"/>
      <c r="M61" s="14"/>
      <c r="N61" s="14"/>
      <c r="O61" s="14"/>
      <c r="P61" s="14"/>
      <c r="Q61" s="14"/>
    </row>
    <row r="62" spans="1:20" ht="13.8">
      <c r="A62" s="29"/>
      <c r="B62" s="77" t="s">
        <v>21</v>
      </c>
      <c r="C62" s="77" t="s">
        <v>161</v>
      </c>
      <c r="D62" s="66" t="s">
        <v>164</v>
      </c>
      <c r="E62" s="76" t="s">
        <v>167</v>
      </c>
      <c r="F62" s="65" t="s">
        <v>169</v>
      </c>
      <c r="G62" s="76">
        <f t="shared" si="12"/>
        <v>30.43</v>
      </c>
      <c r="H62" s="255" t="str">
        <f t="shared" si="13"/>
        <v>A2_B2_C2_D2</v>
      </c>
      <c r="I62" s="25"/>
      <c r="J62" s="25"/>
      <c r="K62" s="25"/>
      <c r="L62" s="25"/>
      <c r="M62" s="14"/>
      <c r="N62" s="14"/>
      <c r="O62" s="14"/>
      <c r="P62" s="14"/>
      <c r="Q62" s="14"/>
    </row>
    <row r="63" spans="1:20" ht="13.8">
      <c r="A63" s="29"/>
      <c r="B63" s="77" t="s">
        <v>21</v>
      </c>
      <c r="C63" s="77" t="s">
        <v>162</v>
      </c>
      <c r="D63" s="66" t="s">
        <v>163</v>
      </c>
      <c r="E63" s="76" t="s">
        <v>166</v>
      </c>
      <c r="F63" s="65" t="s">
        <v>168</v>
      </c>
      <c r="G63" s="76">
        <f t="shared" si="12"/>
        <v>92.24</v>
      </c>
      <c r="H63" s="255" t="str">
        <f t="shared" si="13"/>
        <v>A3_B1_C1_D1</v>
      </c>
      <c r="I63" s="25"/>
      <c r="J63" s="25"/>
      <c r="K63" s="25"/>
      <c r="L63" s="25"/>
      <c r="M63" s="14"/>
      <c r="N63" s="14"/>
    </row>
    <row r="64" spans="1:20" ht="13.8">
      <c r="A64" s="29"/>
      <c r="B64" s="77" t="s">
        <v>21</v>
      </c>
      <c r="C64" s="77" t="s">
        <v>162</v>
      </c>
      <c r="D64" s="66" t="s">
        <v>163</v>
      </c>
      <c r="E64" s="77" t="s">
        <v>166</v>
      </c>
      <c r="F64" s="65" t="s">
        <v>169</v>
      </c>
      <c r="G64" s="76">
        <f t="shared" si="12"/>
        <v>52.58</v>
      </c>
      <c r="H64" s="255" t="str">
        <f t="shared" si="13"/>
        <v>A3_B1_C1_D2</v>
      </c>
      <c r="I64" s="25"/>
      <c r="J64" s="25"/>
      <c r="K64" s="25"/>
      <c r="L64" s="25"/>
      <c r="M64" s="14"/>
      <c r="N64" s="14"/>
      <c r="R64" s="14"/>
      <c r="S64" s="14"/>
    </row>
    <row r="65" spans="1:12" ht="13.8">
      <c r="A65" s="29"/>
      <c r="B65" s="77" t="s">
        <v>21</v>
      </c>
      <c r="C65" s="77" t="s">
        <v>162</v>
      </c>
      <c r="D65" s="66" t="s">
        <v>163</v>
      </c>
      <c r="E65" s="77" t="s">
        <v>167</v>
      </c>
      <c r="F65" s="65" t="s">
        <v>168</v>
      </c>
      <c r="G65" s="76">
        <f t="shared" si="12"/>
        <v>91.61</v>
      </c>
      <c r="H65" s="255" t="str">
        <f t="shared" si="13"/>
        <v>A3_B1_C2_D1</v>
      </c>
      <c r="I65" s="25"/>
      <c r="J65" s="25"/>
      <c r="K65" s="25"/>
      <c r="L65" s="25"/>
    </row>
    <row r="66" spans="1:12" ht="13.8">
      <c r="A66" s="29"/>
      <c r="B66" s="77" t="s">
        <v>21</v>
      </c>
      <c r="C66" s="77" t="s">
        <v>162</v>
      </c>
      <c r="D66" s="66" t="s">
        <v>163</v>
      </c>
      <c r="E66" s="77" t="s">
        <v>167</v>
      </c>
      <c r="F66" s="106" t="s">
        <v>169</v>
      </c>
      <c r="G66" s="76">
        <f t="shared" si="12"/>
        <v>56.55</v>
      </c>
      <c r="H66" s="255" t="str">
        <f t="shared" si="13"/>
        <v>A3_B1_C2_D2</v>
      </c>
      <c r="I66" s="25"/>
      <c r="J66" s="25"/>
      <c r="K66" s="25"/>
      <c r="L66" s="25"/>
    </row>
    <row r="67" spans="1:12" ht="13.8">
      <c r="A67" s="58"/>
      <c r="B67" s="77" t="s">
        <v>21</v>
      </c>
      <c r="C67" s="77" t="s">
        <v>162</v>
      </c>
      <c r="D67" s="65" t="s">
        <v>164</v>
      </c>
      <c r="E67" s="77" t="s">
        <v>166</v>
      </c>
      <c r="F67" s="65" t="s">
        <v>168</v>
      </c>
      <c r="G67" s="76">
        <f t="shared" si="12"/>
        <v>89.17</v>
      </c>
      <c r="H67" s="255" t="str">
        <f t="shared" si="13"/>
        <v>A3_B2_C1_D1</v>
      </c>
      <c r="I67" s="25"/>
      <c r="J67" s="25"/>
      <c r="K67" s="25"/>
      <c r="L67" s="25"/>
    </row>
    <row r="68" spans="1:12" s="35" customFormat="1" ht="13.8">
      <c r="A68" s="103"/>
      <c r="B68" s="78" t="s">
        <v>21</v>
      </c>
      <c r="C68" s="78" t="s">
        <v>162</v>
      </c>
      <c r="D68" s="107" t="s">
        <v>164</v>
      </c>
      <c r="E68" s="114" t="s">
        <v>166</v>
      </c>
      <c r="F68" s="107" t="s">
        <v>169</v>
      </c>
      <c r="G68" s="163">
        <f t="shared" si="12"/>
        <v>58.62</v>
      </c>
      <c r="H68" s="255" t="str">
        <f t="shared" si="13"/>
        <v>A3_B2_C1_D2</v>
      </c>
      <c r="I68" s="34"/>
      <c r="J68" s="34"/>
      <c r="K68" s="34"/>
      <c r="L68" s="34"/>
    </row>
    <row r="69" spans="1:12" s="35" customFormat="1" ht="13.8">
      <c r="A69" s="103"/>
      <c r="B69" s="76" t="s">
        <v>21</v>
      </c>
      <c r="C69" s="76" t="s">
        <v>162</v>
      </c>
      <c r="D69" s="67" t="s">
        <v>164</v>
      </c>
      <c r="E69" s="116" t="s">
        <v>167</v>
      </c>
      <c r="F69" s="69" t="s">
        <v>168</v>
      </c>
      <c r="G69" s="76">
        <f t="shared" si="12"/>
        <v>89.79</v>
      </c>
      <c r="H69" s="255" t="str">
        <f t="shared" si="13"/>
        <v>A3_B2_C2_D1</v>
      </c>
      <c r="I69" s="34"/>
      <c r="J69" s="34"/>
      <c r="K69" s="34"/>
      <c r="L69" s="34"/>
    </row>
    <row r="70" spans="1:12" s="35" customFormat="1" ht="13.8">
      <c r="A70" s="103"/>
      <c r="B70" s="118" t="s">
        <v>21</v>
      </c>
      <c r="C70" s="118" t="s">
        <v>162</v>
      </c>
      <c r="D70" s="110" t="s">
        <v>164</v>
      </c>
      <c r="E70" s="117" t="s">
        <v>167</v>
      </c>
      <c r="F70" s="112" t="s">
        <v>169</v>
      </c>
      <c r="G70" s="118">
        <f t="shared" si="12"/>
        <v>59.96</v>
      </c>
      <c r="H70" s="257" t="str">
        <f t="shared" si="13"/>
        <v>A3_B2_C2_D2</v>
      </c>
      <c r="I70" s="34"/>
      <c r="J70" s="34"/>
      <c r="K70" s="34"/>
      <c r="L70" s="34"/>
    </row>
    <row r="71" spans="1:12" s="35" customFormat="1" ht="13.8">
      <c r="A71" s="103"/>
      <c r="B71" s="113" t="s">
        <v>22</v>
      </c>
      <c r="C71" s="113" t="s">
        <v>160</v>
      </c>
      <c r="D71" s="109" t="s">
        <v>163</v>
      </c>
      <c r="E71" s="75" t="s">
        <v>166</v>
      </c>
      <c r="F71" s="108" t="s">
        <v>168</v>
      </c>
      <c r="G71" s="75">
        <f t="shared" ref="G71:G94" si="14">IF(H14="","",H14)</f>
        <v>18</v>
      </c>
      <c r="H71" s="256" t="str">
        <f t="shared" si="13"/>
        <v>A1_B1_C1_D1</v>
      </c>
      <c r="I71" s="34"/>
      <c r="J71" s="34"/>
      <c r="K71" s="34"/>
      <c r="L71" s="34"/>
    </row>
    <row r="72" spans="1:12" s="94" customFormat="1" ht="14.4">
      <c r="A72" s="104"/>
      <c r="B72" s="77" t="s">
        <v>22</v>
      </c>
      <c r="C72" s="77" t="s">
        <v>160</v>
      </c>
      <c r="D72" s="66" t="s">
        <v>163</v>
      </c>
      <c r="E72" s="76" t="s">
        <v>166</v>
      </c>
      <c r="F72" s="65" t="s">
        <v>169</v>
      </c>
      <c r="G72" s="76">
        <f t="shared" si="14"/>
        <v>11.31</v>
      </c>
      <c r="H72" s="255" t="str">
        <f t="shared" si="13"/>
        <v>A1_B1_C1_D2</v>
      </c>
      <c r="I72" s="93"/>
      <c r="J72" s="93"/>
      <c r="K72" s="93"/>
      <c r="L72" s="93"/>
    </row>
    <row r="73" spans="1:12" s="94" customFormat="1" ht="14.4">
      <c r="A73" s="104"/>
      <c r="B73" s="77" t="s">
        <v>22</v>
      </c>
      <c r="C73" s="77" t="s">
        <v>160</v>
      </c>
      <c r="D73" s="66" t="s">
        <v>163</v>
      </c>
      <c r="E73" s="76" t="s">
        <v>167</v>
      </c>
      <c r="F73" s="65" t="s">
        <v>168</v>
      </c>
      <c r="G73" s="76">
        <f t="shared" si="14"/>
        <v>29.740000000000002</v>
      </c>
      <c r="H73" s="255" t="str">
        <f t="shared" si="13"/>
        <v>A1_B1_C2_D1</v>
      </c>
      <c r="I73" s="93"/>
      <c r="J73" s="93"/>
      <c r="K73" s="93"/>
      <c r="L73" s="93"/>
    </row>
    <row r="74" spans="1:12" s="94" customFormat="1" ht="14.4">
      <c r="A74" s="104"/>
      <c r="B74" s="77" t="s">
        <v>22</v>
      </c>
      <c r="C74" s="77" t="s">
        <v>160</v>
      </c>
      <c r="D74" s="66" t="s">
        <v>163</v>
      </c>
      <c r="E74" s="76" t="s">
        <v>167</v>
      </c>
      <c r="F74" s="65" t="s">
        <v>169</v>
      </c>
      <c r="G74" s="76">
        <f t="shared" si="14"/>
        <v>22.28</v>
      </c>
      <c r="H74" s="255" t="str">
        <f t="shared" si="13"/>
        <v>A1_B1_C2_D2</v>
      </c>
      <c r="I74" s="93"/>
      <c r="J74" s="93"/>
      <c r="K74" s="93"/>
      <c r="L74" s="93"/>
    </row>
    <row r="75" spans="1:12" s="94" customFormat="1" ht="14.4">
      <c r="A75" s="104"/>
      <c r="B75" s="77" t="s">
        <v>22</v>
      </c>
      <c r="C75" s="77" t="s">
        <v>160</v>
      </c>
      <c r="D75" s="66" t="s">
        <v>164</v>
      </c>
      <c r="E75" s="76" t="s">
        <v>166</v>
      </c>
      <c r="F75" s="65" t="s">
        <v>168</v>
      </c>
      <c r="G75" s="76">
        <f t="shared" si="14"/>
        <v>37.700000000000003</v>
      </c>
      <c r="H75" s="255" t="str">
        <f t="shared" si="13"/>
        <v>A1_B2_C1_D1</v>
      </c>
      <c r="I75" s="93"/>
      <c r="J75" s="93"/>
      <c r="K75" s="93"/>
      <c r="L75" s="93"/>
    </row>
    <row r="76" spans="1:12" s="94" customFormat="1" ht="14.4">
      <c r="A76" s="104"/>
      <c r="B76" s="77" t="s">
        <v>22</v>
      </c>
      <c r="C76" s="77" t="s">
        <v>160</v>
      </c>
      <c r="D76" s="66" t="s">
        <v>164</v>
      </c>
      <c r="E76" s="76" t="s">
        <v>166</v>
      </c>
      <c r="F76" s="65" t="s">
        <v>169</v>
      </c>
      <c r="G76" s="76">
        <f t="shared" si="14"/>
        <v>23.45</v>
      </c>
      <c r="H76" s="255" t="str">
        <f t="shared" si="13"/>
        <v>A1_B2_C1_D2</v>
      </c>
      <c r="I76" s="93"/>
      <c r="J76" s="93"/>
      <c r="K76" s="93"/>
      <c r="L76" s="93"/>
    </row>
    <row r="77" spans="1:12" s="94" customFormat="1" ht="14.4">
      <c r="A77" s="104"/>
      <c r="B77" s="77" t="s">
        <v>22</v>
      </c>
      <c r="C77" s="77" t="s">
        <v>160</v>
      </c>
      <c r="D77" s="66" t="s">
        <v>164</v>
      </c>
      <c r="E77" s="76" t="s">
        <v>167</v>
      </c>
      <c r="F77" s="65" t="s">
        <v>168</v>
      </c>
      <c r="G77" s="76">
        <f t="shared" si="14"/>
        <v>44.97</v>
      </c>
      <c r="H77" s="255" t="str">
        <f t="shared" si="13"/>
        <v>A1_B2_C2_D1</v>
      </c>
      <c r="I77" s="93"/>
      <c r="J77" s="93"/>
      <c r="K77" s="93"/>
      <c r="L77" s="93"/>
    </row>
    <row r="78" spans="1:12" s="35" customFormat="1" ht="13.8">
      <c r="A78" s="29"/>
      <c r="B78" s="77" t="s">
        <v>22</v>
      </c>
      <c r="C78" s="77" t="s">
        <v>160</v>
      </c>
      <c r="D78" s="66" t="s">
        <v>164</v>
      </c>
      <c r="E78" s="76" t="s">
        <v>167</v>
      </c>
      <c r="F78" s="65" t="s">
        <v>169</v>
      </c>
      <c r="G78" s="76">
        <f t="shared" si="14"/>
        <v>33.840000000000003</v>
      </c>
      <c r="H78" s="255" t="str">
        <f t="shared" si="13"/>
        <v>A1_B2_C2_D2</v>
      </c>
      <c r="I78" s="34"/>
      <c r="J78" s="34"/>
      <c r="K78" s="34"/>
      <c r="L78" s="34"/>
    </row>
    <row r="79" spans="1:12" s="35" customFormat="1" ht="13.8">
      <c r="A79" s="29"/>
      <c r="B79" s="77" t="s">
        <v>22</v>
      </c>
      <c r="C79" s="77" t="s">
        <v>161</v>
      </c>
      <c r="D79" s="66" t="s">
        <v>163</v>
      </c>
      <c r="E79" s="76" t="s">
        <v>166</v>
      </c>
      <c r="F79" s="65" t="s">
        <v>168</v>
      </c>
      <c r="G79" s="76">
        <f t="shared" si="14"/>
        <v>39.56</v>
      </c>
      <c r="H79" s="255" t="str">
        <f t="shared" si="13"/>
        <v>A2_B1_C1_D1</v>
      </c>
      <c r="I79" s="34"/>
      <c r="J79" s="34"/>
      <c r="K79" s="34"/>
      <c r="L79" s="34"/>
    </row>
    <row r="80" spans="1:12">
      <c r="A80" s="25"/>
      <c r="B80" s="77" t="s">
        <v>22</v>
      </c>
      <c r="C80" s="77" t="s">
        <v>161</v>
      </c>
      <c r="D80" s="66" t="s">
        <v>163</v>
      </c>
      <c r="E80" s="76" t="s">
        <v>166</v>
      </c>
      <c r="F80" s="65" t="s">
        <v>169</v>
      </c>
      <c r="G80" s="76">
        <f t="shared" si="14"/>
        <v>26.06</v>
      </c>
      <c r="H80" s="255" t="str">
        <f t="shared" si="13"/>
        <v>A2_B1_C1_D2</v>
      </c>
      <c r="I80" s="25"/>
      <c r="J80" s="25"/>
      <c r="K80" s="25"/>
      <c r="L80" s="25"/>
    </row>
    <row r="81" spans="1:12">
      <c r="A81" s="25"/>
      <c r="B81" s="77" t="s">
        <v>22</v>
      </c>
      <c r="C81" s="77" t="s">
        <v>161</v>
      </c>
      <c r="D81" s="66" t="s">
        <v>163</v>
      </c>
      <c r="E81" s="76" t="s">
        <v>167</v>
      </c>
      <c r="F81" s="65" t="s">
        <v>168</v>
      </c>
      <c r="G81" s="76">
        <f t="shared" si="14"/>
        <v>31.11</v>
      </c>
      <c r="H81" s="255" t="str">
        <f t="shared" si="13"/>
        <v>A2_B1_C2_D1</v>
      </c>
      <c r="I81" s="25"/>
      <c r="J81" s="25"/>
      <c r="K81" s="25"/>
      <c r="L81" s="25"/>
    </row>
    <row r="82" spans="1:12">
      <c r="A82" s="25"/>
      <c r="B82" s="77" t="s">
        <v>22</v>
      </c>
      <c r="C82" s="77" t="s">
        <v>161</v>
      </c>
      <c r="D82" s="66" t="s">
        <v>163</v>
      </c>
      <c r="E82" s="76" t="s">
        <v>167</v>
      </c>
      <c r="F82" s="65" t="s">
        <v>169</v>
      </c>
      <c r="G82" s="76">
        <f t="shared" si="14"/>
        <v>18.82</v>
      </c>
      <c r="H82" s="255" t="str">
        <f t="shared" si="13"/>
        <v>A2_B1_C2_D2</v>
      </c>
      <c r="I82" s="25"/>
      <c r="J82" s="25"/>
      <c r="K82" s="25"/>
      <c r="L82" s="25"/>
    </row>
    <row r="83" spans="1:12">
      <c r="A83" s="25"/>
      <c r="B83" s="77" t="s">
        <v>22</v>
      </c>
      <c r="C83" s="77" t="s">
        <v>161</v>
      </c>
      <c r="D83" s="66" t="s">
        <v>164</v>
      </c>
      <c r="E83" s="76" t="s">
        <v>166</v>
      </c>
      <c r="F83" s="65" t="s">
        <v>168</v>
      </c>
      <c r="G83" s="76">
        <f t="shared" si="14"/>
        <v>36.53</v>
      </c>
      <c r="H83" s="255" t="str">
        <f t="shared" si="13"/>
        <v>A2_B2_C1_D1</v>
      </c>
      <c r="I83" s="25"/>
      <c r="J83" s="25"/>
      <c r="K83" s="25"/>
      <c r="L83" s="25"/>
    </row>
    <row r="84" spans="1:12">
      <c r="A84" s="25"/>
      <c r="B84" s="77" t="s">
        <v>22</v>
      </c>
      <c r="C84" s="77" t="s">
        <v>161</v>
      </c>
      <c r="D84" s="66" t="s">
        <v>164</v>
      </c>
      <c r="E84" s="76" t="s">
        <v>166</v>
      </c>
      <c r="F84" s="65" t="s">
        <v>169</v>
      </c>
      <c r="G84" s="76">
        <f t="shared" si="14"/>
        <v>22.62</v>
      </c>
      <c r="H84" s="255" t="str">
        <f t="shared" si="13"/>
        <v>A2_B2_C1_D2</v>
      </c>
      <c r="I84" s="25"/>
      <c r="J84" s="25"/>
      <c r="K84" s="25"/>
      <c r="L84" s="25"/>
    </row>
    <row r="85" spans="1:12">
      <c r="A85" s="25"/>
      <c r="B85" s="77" t="s">
        <v>22</v>
      </c>
      <c r="C85" s="77" t="s">
        <v>161</v>
      </c>
      <c r="D85" s="66" t="s">
        <v>164</v>
      </c>
      <c r="E85" s="76" t="s">
        <v>167</v>
      </c>
      <c r="F85" s="65" t="s">
        <v>168</v>
      </c>
      <c r="G85" s="76">
        <f t="shared" si="14"/>
        <v>47.08</v>
      </c>
      <c r="H85" s="255" t="str">
        <f t="shared" si="13"/>
        <v>A2_B2_C2_D1</v>
      </c>
      <c r="I85" s="25"/>
      <c r="J85" s="25"/>
      <c r="K85" s="25"/>
      <c r="L85" s="25"/>
    </row>
    <row r="86" spans="1:12">
      <c r="A86" s="25"/>
      <c r="B86" s="77" t="s">
        <v>22</v>
      </c>
      <c r="C86" s="77" t="s">
        <v>161</v>
      </c>
      <c r="D86" s="66" t="s">
        <v>164</v>
      </c>
      <c r="E86" s="76" t="s">
        <v>167</v>
      </c>
      <c r="F86" s="65" t="s">
        <v>169</v>
      </c>
      <c r="G86" s="76">
        <f t="shared" si="14"/>
        <v>31.43</v>
      </c>
      <c r="H86" s="255" t="str">
        <f t="shared" si="13"/>
        <v>A2_B2_C2_D2</v>
      </c>
      <c r="I86" s="25"/>
      <c r="J86" s="25"/>
      <c r="K86" s="25"/>
      <c r="L86" s="25"/>
    </row>
    <row r="87" spans="1:12">
      <c r="A87" s="25"/>
      <c r="B87" s="77" t="s">
        <v>22</v>
      </c>
      <c r="C87" s="77" t="s">
        <v>162</v>
      </c>
      <c r="D87" s="66" t="s">
        <v>163</v>
      </c>
      <c r="E87" s="76" t="s">
        <v>166</v>
      </c>
      <c r="F87" s="65" t="s">
        <v>168</v>
      </c>
      <c r="G87" s="76">
        <f t="shared" si="14"/>
        <v>93.24</v>
      </c>
      <c r="H87" s="255" t="str">
        <f t="shared" si="13"/>
        <v>A3_B1_C1_D1</v>
      </c>
      <c r="I87" s="25"/>
      <c r="J87" s="25"/>
      <c r="K87" s="25"/>
      <c r="L87" s="25"/>
    </row>
    <row r="88" spans="1:12">
      <c r="A88" s="25"/>
      <c r="B88" s="77" t="s">
        <v>22</v>
      </c>
      <c r="C88" s="77" t="s">
        <v>162</v>
      </c>
      <c r="D88" s="66" t="s">
        <v>163</v>
      </c>
      <c r="E88" s="77" t="s">
        <v>166</v>
      </c>
      <c r="F88" s="65" t="s">
        <v>169</v>
      </c>
      <c r="G88" s="76">
        <f t="shared" si="14"/>
        <v>50.58</v>
      </c>
      <c r="H88" s="255" t="str">
        <f t="shared" si="13"/>
        <v>A3_B1_C1_D2</v>
      </c>
      <c r="I88" s="25"/>
      <c r="J88" s="25"/>
      <c r="K88" s="25"/>
      <c r="L88" s="25"/>
    </row>
    <row r="89" spans="1:12">
      <c r="A89" s="25"/>
      <c r="B89" s="77" t="s">
        <v>22</v>
      </c>
      <c r="C89" s="77" t="s">
        <v>162</v>
      </c>
      <c r="D89" s="66" t="s">
        <v>163</v>
      </c>
      <c r="E89" s="77" t="s">
        <v>167</v>
      </c>
      <c r="F89" s="65" t="s">
        <v>168</v>
      </c>
      <c r="G89" s="76">
        <f t="shared" si="14"/>
        <v>91.61</v>
      </c>
      <c r="H89" s="255" t="str">
        <f t="shared" si="13"/>
        <v>A3_B1_C2_D1</v>
      </c>
      <c r="I89" s="25"/>
      <c r="J89" s="25"/>
      <c r="K89" s="25"/>
      <c r="L89" s="25"/>
    </row>
    <row r="90" spans="1:12">
      <c r="A90" s="25"/>
      <c r="B90" s="77" t="s">
        <v>22</v>
      </c>
      <c r="C90" s="77" t="s">
        <v>162</v>
      </c>
      <c r="D90" s="66" t="s">
        <v>163</v>
      </c>
      <c r="E90" s="77" t="s">
        <v>167</v>
      </c>
      <c r="F90" s="106" t="s">
        <v>169</v>
      </c>
      <c r="G90" s="76">
        <f t="shared" si="14"/>
        <v>56.55</v>
      </c>
      <c r="H90" s="255" t="str">
        <f t="shared" si="13"/>
        <v>A3_B1_C2_D2</v>
      </c>
      <c r="I90" s="25"/>
      <c r="J90" s="25"/>
      <c r="K90" s="25"/>
      <c r="L90" s="25"/>
    </row>
    <row r="91" spans="1:12">
      <c r="A91" s="25"/>
      <c r="B91" s="77" t="s">
        <v>22</v>
      </c>
      <c r="C91" s="77" t="s">
        <v>162</v>
      </c>
      <c r="D91" s="65" t="s">
        <v>164</v>
      </c>
      <c r="E91" s="77" t="s">
        <v>166</v>
      </c>
      <c r="F91" s="65" t="s">
        <v>168</v>
      </c>
      <c r="G91" s="76">
        <f t="shared" si="14"/>
        <v>91.17</v>
      </c>
      <c r="H91" s="255" t="str">
        <f t="shared" si="13"/>
        <v>A3_B2_C1_D1</v>
      </c>
      <c r="I91" s="25"/>
      <c r="J91" s="25"/>
      <c r="K91" s="25"/>
      <c r="L91" s="25"/>
    </row>
    <row r="92" spans="1:12">
      <c r="A92" s="25"/>
      <c r="B92" s="78" t="s">
        <v>22</v>
      </c>
      <c r="C92" s="78" t="s">
        <v>162</v>
      </c>
      <c r="D92" s="107" t="s">
        <v>164</v>
      </c>
      <c r="E92" s="114" t="s">
        <v>166</v>
      </c>
      <c r="F92" s="107" t="s">
        <v>169</v>
      </c>
      <c r="G92" s="163">
        <f t="shared" si="14"/>
        <v>55.62</v>
      </c>
      <c r="H92" s="255" t="str">
        <f t="shared" si="13"/>
        <v>A3_B2_C1_D2</v>
      </c>
      <c r="I92" s="25"/>
      <c r="J92" s="25"/>
      <c r="K92" s="25"/>
      <c r="L92" s="25"/>
    </row>
    <row r="93" spans="1:12">
      <c r="A93" s="25"/>
      <c r="B93" s="76" t="s">
        <v>22</v>
      </c>
      <c r="C93" s="76" t="s">
        <v>162</v>
      </c>
      <c r="D93" s="67" t="s">
        <v>164</v>
      </c>
      <c r="E93" s="116" t="s">
        <v>167</v>
      </c>
      <c r="F93" s="69" t="s">
        <v>168</v>
      </c>
      <c r="G93" s="76">
        <f t="shared" si="14"/>
        <v>88.79</v>
      </c>
      <c r="H93" s="255" t="str">
        <f t="shared" si="13"/>
        <v>A3_B2_C2_D1</v>
      </c>
      <c r="I93" s="25"/>
      <c r="J93" s="25"/>
      <c r="K93" s="25"/>
      <c r="L93" s="25"/>
    </row>
    <row r="94" spans="1:12">
      <c r="A94" s="25"/>
      <c r="B94" s="118" t="s">
        <v>22</v>
      </c>
      <c r="C94" s="118" t="s">
        <v>162</v>
      </c>
      <c r="D94" s="110" t="s">
        <v>164</v>
      </c>
      <c r="E94" s="117" t="s">
        <v>167</v>
      </c>
      <c r="F94" s="112" t="s">
        <v>169</v>
      </c>
      <c r="G94" s="118">
        <f t="shared" si="14"/>
        <v>58.96</v>
      </c>
      <c r="H94" s="257" t="str">
        <f t="shared" si="13"/>
        <v>A3_B2_C2_D2</v>
      </c>
      <c r="I94" s="25"/>
      <c r="J94" s="25"/>
      <c r="K94" s="25"/>
      <c r="L94" s="25"/>
    </row>
    <row r="95" spans="1:12">
      <c r="A95" s="25"/>
      <c r="B95" s="113" t="s">
        <v>23</v>
      </c>
      <c r="C95" s="113" t="s">
        <v>160</v>
      </c>
      <c r="D95" s="109" t="s">
        <v>163</v>
      </c>
      <c r="E95" s="75" t="s">
        <v>166</v>
      </c>
      <c r="F95" s="108" t="s">
        <v>168</v>
      </c>
      <c r="G95" s="75" t="str">
        <f t="shared" ref="G95:G118" si="15">IF(I14="","",I14)</f>
        <v/>
      </c>
      <c r="H95" s="256" t="str">
        <f t="shared" si="13"/>
        <v/>
      </c>
      <c r="I95" s="25"/>
      <c r="J95" s="25"/>
      <c r="K95" s="25"/>
      <c r="L95" s="25"/>
    </row>
    <row r="96" spans="1:12">
      <c r="A96" s="25"/>
      <c r="B96" s="77" t="s">
        <v>23</v>
      </c>
      <c r="C96" s="77" t="s">
        <v>160</v>
      </c>
      <c r="D96" s="66" t="s">
        <v>163</v>
      </c>
      <c r="E96" s="76" t="s">
        <v>166</v>
      </c>
      <c r="F96" s="65" t="s">
        <v>169</v>
      </c>
      <c r="G96" s="76" t="str">
        <f t="shared" si="15"/>
        <v/>
      </c>
      <c r="H96" s="255" t="str">
        <f t="shared" si="13"/>
        <v/>
      </c>
      <c r="I96" s="25"/>
      <c r="J96" s="25"/>
      <c r="K96" s="25"/>
      <c r="L96" s="25"/>
    </row>
    <row r="97" spans="1:12">
      <c r="A97" s="25"/>
      <c r="B97" s="77" t="s">
        <v>23</v>
      </c>
      <c r="C97" s="77" t="s">
        <v>160</v>
      </c>
      <c r="D97" s="66" t="s">
        <v>163</v>
      </c>
      <c r="E97" s="76" t="s">
        <v>167</v>
      </c>
      <c r="F97" s="65" t="s">
        <v>168</v>
      </c>
      <c r="G97" s="76" t="str">
        <f t="shared" si="15"/>
        <v/>
      </c>
      <c r="H97" s="255" t="str">
        <f t="shared" si="13"/>
        <v/>
      </c>
      <c r="I97" s="25"/>
      <c r="J97" s="25"/>
      <c r="K97" s="25"/>
      <c r="L97" s="25"/>
    </row>
    <row r="98" spans="1:12">
      <c r="A98" s="25"/>
      <c r="B98" s="77" t="s">
        <v>23</v>
      </c>
      <c r="C98" s="77" t="s">
        <v>160</v>
      </c>
      <c r="D98" s="66" t="s">
        <v>163</v>
      </c>
      <c r="E98" s="76" t="s">
        <v>167</v>
      </c>
      <c r="F98" s="65" t="s">
        <v>169</v>
      </c>
      <c r="G98" s="76" t="str">
        <f t="shared" si="15"/>
        <v/>
      </c>
      <c r="H98" s="255" t="str">
        <f t="shared" si="13"/>
        <v/>
      </c>
      <c r="I98" s="25"/>
      <c r="J98" s="25"/>
      <c r="K98" s="25"/>
      <c r="L98" s="25"/>
    </row>
    <row r="99" spans="1:12">
      <c r="A99" s="25"/>
      <c r="B99" s="77" t="s">
        <v>23</v>
      </c>
      <c r="C99" s="77" t="s">
        <v>160</v>
      </c>
      <c r="D99" s="66" t="s">
        <v>164</v>
      </c>
      <c r="E99" s="76" t="s">
        <v>166</v>
      </c>
      <c r="F99" s="65" t="s">
        <v>168</v>
      </c>
      <c r="G99" s="76" t="str">
        <f t="shared" si="15"/>
        <v/>
      </c>
      <c r="H99" s="255" t="str">
        <f t="shared" si="13"/>
        <v/>
      </c>
      <c r="I99" s="25"/>
      <c r="J99" s="25"/>
      <c r="K99" s="25"/>
      <c r="L99" s="25"/>
    </row>
    <row r="100" spans="1:12">
      <c r="A100" s="25"/>
      <c r="B100" s="77" t="s">
        <v>23</v>
      </c>
      <c r="C100" s="77" t="s">
        <v>160</v>
      </c>
      <c r="D100" s="66" t="s">
        <v>164</v>
      </c>
      <c r="E100" s="76" t="s">
        <v>166</v>
      </c>
      <c r="F100" s="65" t="s">
        <v>169</v>
      </c>
      <c r="G100" s="76" t="str">
        <f t="shared" si="15"/>
        <v/>
      </c>
      <c r="H100" s="255" t="str">
        <f t="shared" si="13"/>
        <v/>
      </c>
      <c r="I100" s="25"/>
      <c r="J100" s="25"/>
      <c r="K100" s="25"/>
      <c r="L100" s="25"/>
    </row>
    <row r="101" spans="1:12">
      <c r="A101" s="25"/>
      <c r="B101" s="77" t="s">
        <v>23</v>
      </c>
      <c r="C101" s="77" t="s">
        <v>160</v>
      </c>
      <c r="D101" s="66" t="s">
        <v>164</v>
      </c>
      <c r="E101" s="76" t="s">
        <v>167</v>
      </c>
      <c r="F101" s="65" t="s">
        <v>168</v>
      </c>
      <c r="G101" s="76" t="str">
        <f t="shared" si="15"/>
        <v/>
      </c>
      <c r="H101" s="255" t="str">
        <f t="shared" si="13"/>
        <v/>
      </c>
      <c r="I101" s="25"/>
      <c r="J101" s="25"/>
      <c r="K101" s="25"/>
      <c r="L101" s="25"/>
    </row>
    <row r="102" spans="1:12">
      <c r="A102" s="25"/>
      <c r="B102" s="77" t="s">
        <v>23</v>
      </c>
      <c r="C102" s="77" t="s">
        <v>160</v>
      </c>
      <c r="D102" s="66" t="s">
        <v>164</v>
      </c>
      <c r="E102" s="76" t="s">
        <v>167</v>
      </c>
      <c r="F102" s="65" t="s">
        <v>169</v>
      </c>
      <c r="G102" s="76" t="str">
        <f t="shared" si="15"/>
        <v/>
      </c>
      <c r="H102" s="255" t="str">
        <f t="shared" si="13"/>
        <v/>
      </c>
      <c r="I102" s="25"/>
      <c r="J102" s="25"/>
      <c r="K102" s="25"/>
      <c r="L102" s="25"/>
    </row>
    <row r="103" spans="1:12">
      <c r="A103" s="25"/>
      <c r="B103" s="77" t="s">
        <v>23</v>
      </c>
      <c r="C103" s="77" t="s">
        <v>161</v>
      </c>
      <c r="D103" s="66" t="s">
        <v>163</v>
      </c>
      <c r="E103" s="76" t="s">
        <v>166</v>
      </c>
      <c r="F103" s="65" t="s">
        <v>168</v>
      </c>
      <c r="G103" s="76" t="str">
        <f t="shared" si="15"/>
        <v/>
      </c>
      <c r="H103" s="255" t="str">
        <f t="shared" si="13"/>
        <v/>
      </c>
      <c r="I103" s="25"/>
      <c r="J103" s="25"/>
      <c r="K103" s="25"/>
      <c r="L103" s="25"/>
    </row>
    <row r="104" spans="1:12">
      <c r="A104" s="25"/>
      <c r="B104" s="77" t="s">
        <v>23</v>
      </c>
      <c r="C104" s="77" t="s">
        <v>161</v>
      </c>
      <c r="D104" s="66" t="s">
        <v>163</v>
      </c>
      <c r="E104" s="76" t="s">
        <v>166</v>
      </c>
      <c r="F104" s="65" t="s">
        <v>169</v>
      </c>
      <c r="G104" s="76" t="str">
        <f t="shared" si="15"/>
        <v/>
      </c>
      <c r="H104" s="255" t="str">
        <f t="shared" si="13"/>
        <v/>
      </c>
      <c r="I104" s="25"/>
      <c r="J104" s="25"/>
      <c r="K104" s="25"/>
      <c r="L104" s="25"/>
    </row>
    <row r="105" spans="1:12">
      <c r="A105" s="25"/>
      <c r="B105" s="77" t="s">
        <v>23</v>
      </c>
      <c r="C105" s="77" t="s">
        <v>161</v>
      </c>
      <c r="D105" s="66" t="s">
        <v>163</v>
      </c>
      <c r="E105" s="76" t="s">
        <v>167</v>
      </c>
      <c r="F105" s="65" t="s">
        <v>168</v>
      </c>
      <c r="G105" s="76" t="str">
        <f t="shared" si="15"/>
        <v/>
      </c>
      <c r="H105" s="255" t="str">
        <f t="shared" si="13"/>
        <v/>
      </c>
      <c r="I105" s="25"/>
      <c r="J105" s="25"/>
      <c r="K105" s="25"/>
      <c r="L105" s="25"/>
    </row>
    <row r="106" spans="1:12">
      <c r="A106" s="25"/>
      <c r="B106" s="77" t="s">
        <v>23</v>
      </c>
      <c r="C106" s="77" t="s">
        <v>161</v>
      </c>
      <c r="D106" s="66" t="s">
        <v>163</v>
      </c>
      <c r="E106" s="76" t="s">
        <v>167</v>
      </c>
      <c r="F106" s="65" t="s">
        <v>169</v>
      </c>
      <c r="G106" s="76" t="str">
        <f t="shared" si="15"/>
        <v/>
      </c>
      <c r="H106" s="255" t="str">
        <f t="shared" si="13"/>
        <v/>
      </c>
      <c r="I106" s="25"/>
      <c r="J106" s="25"/>
      <c r="K106" s="25"/>
      <c r="L106" s="25"/>
    </row>
    <row r="107" spans="1:12">
      <c r="A107" s="25"/>
      <c r="B107" s="77" t="s">
        <v>23</v>
      </c>
      <c r="C107" s="77" t="s">
        <v>161</v>
      </c>
      <c r="D107" s="66" t="s">
        <v>164</v>
      </c>
      <c r="E107" s="76" t="s">
        <v>166</v>
      </c>
      <c r="F107" s="65" t="s">
        <v>168</v>
      </c>
      <c r="G107" s="76" t="str">
        <f t="shared" si="15"/>
        <v/>
      </c>
      <c r="H107" s="255" t="str">
        <f t="shared" si="13"/>
        <v/>
      </c>
      <c r="I107" s="25"/>
      <c r="J107" s="25"/>
      <c r="K107" s="25"/>
      <c r="L107" s="25"/>
    </row>
    <row r="108" spans="1:12">
      <c r="A108" s="25"/>
      <c r="B108" s="77" t="s">
        <v>23</v>
      </c>
      <c r="C108" s="77" t="s">
        <v>161</v>
      </c>
      <c r="D108" s="66" t="s">
        <v>164</v>
      </c>
      <c r="E108" s="76" t="s">
        <v>166</v>
      </c>
      <c r="F108" s="65" t="s">
        <v>169</v>
      </c>
      <c r="G108" s="76" t="str">
        <f t="shared" si="15"/>
        <v/>
      </c>
      <c r="H108" s="255" t="str">
        <f t="shared" si="13"/>
        <v/>
      </c>
      <c r="I108" s="25"/>
      <c r="J108" s="25"/>
      <c r="K108" s="25"/>
      <c r="L108" s="25"/>
    </row>
    <row r="109" spans="1:12">
      <c r="A109" s="25"/>
      <c r="B109" s="77" t="s">
        <v>23</v>
      </c>
      <c r="C109" s="77" t="s">
        <v>161</v>
      </c>
      <c r="D109" s="66" t="s">
        <v>164</v>
      </c>
      <c r="E109" s="76" t="s">
        <v>167</v>
      </c>
      <c r="F109" s="65" t="s">
        <v>168</v>
      </c>
      <c r="G109" s="76" t="str">
        <f t="shared" si="15"/>
        <v/>
      </c>
      <c r="H109" s="255" t="str">
        <f t="shared" si="13"/>
        <v/>
      </c>
      <c r="I109" s="25"/>
      <c r="J109" s="25"/>
      <c r="K109" s="25"/>
      <c r="L109" s="25"/>
    </row>
    <row r="110" spans="1:12">
      <c r="A110" s="25"/>
      <c r="B110" s="77" t="s">
        <v>23</v>
      </c>
      <c r="C110" s="77" t="s">
        <v>161</v>
      </c>
      <c r="D110" s="66" t="s">
        <v>164</v>
      </c>
      <c r="E110" s="76" t="s">
        <v>167</v>
      </c>
      <c r="F110" s="65" t="s">
        <v>169</v>
      </c>
      <c r="G110" s="76" t="str">
        <f t="shared" si="15"/>
        <v/>
      </c>
      <c r="H110" s="255" t="str">
        <f t="shared" si="13"/>
        <v/>
      </c>
      <c r="I110" s="25"/>
      <c r="J110" s="25"/>
      <c r="K110" s="25"/>
      <c r="L110" s="25"/>
    </row>
    <row r="111" spans="1:12">
      <c r="A111" s="25"/>
      <c r="B111" s="77" t="s">
        <v>23</v>
      </c>
      <c r="C111" s="77" t="s">
        <v>162</v>
      </c>
      <c r="D111" s="66" t="s">
        <v>163</v>
      </c>
      <c r="E111" s="76" t="s">
        <v>166</v>
      </c>
      <c r="F111" s="65" t="s">
        <v>168</v>
      </c>
      <c r="G111" s="76" t="str">
        <f t="shared" si="15"/>
        <v/>
      </c>
      <c r="H111" s="255" t="str">
        <f t="shared" ref="H111:H166" si="16">IF(G111="","",CONCATENATE(C111,"_",D111,"_",E111,"_",F111))</f>
        <v/>
      </c>
      <c r="I111" s="25"/>
      <c r="J111" s="25"/>
      <c r="K111" s="25"/>
      <c r="L111" s="25"/>
    </row>
    <row r="112" spans="1:12">
      <c r="A112" s="25"/>
      <c r="B112" s="77" t="s">
        <v>23</v>
      </c>
      <c r="C112" s="77" t="s">
        <v>162</v>
      </c>
      <c r="D112" s="66" t="s">
        <v>163</v>
      </c>
      <c r="E112" s="77" t="s">
        <v>166</v>
      </c>
      <c r="F112" s="65" t="s">
        <v>169</v>
      </c>
      <c r="G112" s="76" t="str">
        <f t="shared" si="15"/>
        <v/>
      </c>
      <c r="H112" s="255" t="str">
        <f t="shared" si="16"/>
        <v/>
      </c>
      <c r="I112" s="25"/>
      <c r="J112" s="25"/>
      <c r="K112" s="25"/>
      <c r="L112" s="25"/>
    </row>
    <row r="113" spans="1:12">
      <c r="A113" s="25"/>
      <c r="B113" s="77" t="s">
        <v>23</v>
      </c>
      <c r="C113" s="77" t="s">
        <v>162</v>
      </c>
      <c r="D113" s="66" t="s">
        <v>163</v>
      </c>
      <c r="E113" s="77" t="s">
        <v>167</v>
      </c>
      <c r="F113" s="65" t="s">
        <v>168</v>
      </c>
      <c r="G113" s="76" t="str">
        <f t="shared" si="15"/>
        <v/>
      </c>
      <c r="H113" s="255" t="str">
        <f t="shared" si="16"/>
        <v/>
      </c>
      <c r="I113" s="25"/>
      <c r="J113" s="25"/>
      <c r="K113" s="25"/>
      <c r="L113" s="25"/>
    </row>
    <row r="114" spans="1:12">
      <c r="B114" s="77" t="s">
        <v>23</v>
      </c>
      <c r="C114" s="77" t="s">
        <v>162</v>
      </c>
      <c r="D114" s="66" t="s">
        <v>163</v>
      </c>
      <c r="E114" s="77" t="s">
        <v>167</v>
      </c>
      <c r="F114" s="106" t="s">
        <v>169</v>
      </c>
      <c r="G114" s="76" t="str">
        <f t="shared" si="15"/>
        <v/>
      </c>
      <c r="H114" s="255" t="str">
        <f t="shared" si="16"/>
        <v/>
      </c>
    </row>
    <row r="115" spans="1:12">
      <c r="B115" s="77" t="s">
        <v>23</v>
      </c>
      <c r="C115" s="77" t="s">
        <v>162</v>
      </c>
      <c r="D115" s="65" t="s">
        <v>164</v>
      </c>
      <c r="E115" s="77" t="s">
        <v>166</v>
      </c>
      <c r="F115" s="65" t="s">
        <v>168</v>
      </c>
      <c r="G115" s="76" t="str">
        <f t="shared" si="15"/>
        <v/>
      </c>
      <c r="H115" s="255" t="str">
        <f t="shared" si="16"/>
        <v/>
      </c>
    </row>
    <row r="116" spans="1:12">
      <c r="B116" s="78" t="s">
        <v>23</v>
      </c>
      <c r="C116" s="78" t="s">
        <v>162</v>
      </c>
      <c r="D116" s="107" t="s">
        <v>164</v>
      </c>
      <c r="E116" s="114" t="s">
        <v>166</v>
      </c>
      <c r="F116" s="107" t="s">
        <v>169</v>
      </c>
      <c r="G116" s="163" t="str">
        <f t="shared" si="15"/>
        <v/>
      </c>
      <c r="H116" s="255" t="str">
        <f t="shared" si="16"/>
        <v/>
      </c>
    </row>
    <row r="117" spans="1:12">
      <c r="B117" s="76" t="s">
        <v>23</v>
      </c>
      <c r="C117" s="76" t="s">
        <v>162</v>
      </c>
      <c r="D117" s="67" t="s">
        <v>164</v>
      </c>
      <c r="E117" s="116" t="s">
        <v>167</v>
      </c>
      <c r="F117" s="69" t="s">
        <v>168</v>
      </c>
      <c r="G117" s="76" t="str">
        <f t="shared" si="15"/>
        <v/>
      </c>
      <c r="H117" s="255" t="str">
        <f t="shared" si="16"/>
        <v/>
      </c>
    </row>
    <row r="118" spans="1:12">
      <c r="B118" s="118" t="s">
        <v>23</v>
      </c>
      <c r="C118" s="118" t="s">
        <v>162</v>
      </c>
      <c r="D118" s="110" t="s">
        <v>164</v>
      </c>
      <c r="E118" s="117" t="s">
        <v>167</v>
      </c>
      <c r="F118" s="112" t="s">
        <v>169</v>
      </c>
      <c r="G118" s="118" t="str">
        <f t="shared" si="15"/>
        <v/>
      </c>
      <c r="H118" s="257" t="str">
        <f t="shared" si="16"/>
        <v/>
      </c>
    </row>
    <row r="119" spans="1:12">
      <c r="B119" s="113" t="s">
        <v>24</v>
      </c>
      <c r="C119" s="113" t="s">
        <v>160</v>
      </c>
      <c r="D119" s="109" t="s">
        <v>163</v>
      </c>
      <c r="E119" s="75" t="s">
        <v>166</v>
      </c>
      <c r="F119" s="108" t="s">
        <v>168</v>
      </c>
      <c r="G119" s="75" t="str">
        <f t="shared" ref="G119:G142" si="17">IF(J14="","",J14)</f>
        <v/>
      </c>
      <c r="H119" s="256" t="str">
        <f t="shared" si="16"/>
        <v/>
      </c>
    </row>
    <row r="120" spans="1:12">
      <c r="B120" s="77" t="s">
        <v>24</v>
      </c>
      <c r="C120" s="77" t="s">
        <v>160</v>
      </c>
      <c r="D120" s="66" t="s">
        <v>163</v>
      </c>
      <c r="E120" s="76" t="s">
        <v>166</v>
      </c>
      <c r="F120" s="65" t="s">
        <v>169</v>
      </c>
      <c r="G120" s="76" t="str">
        <f t="shared" si="17"/>
        <v/>
      </c>
      <c r="H120" s="255" t="str">
        <f t="shared" si="16"/>
        <v/>
      </c>
    </row>
    <row r="121" spans="1:12">
      <c r="B121" s="77" t="s">
        <v>24</v>
      </c>
      <c r="C121" s="77" t="s">
        <v>160</v>
      </c>
      <c r="D121" s="66" t="s">
        <v>163</v>
      </c>
      <c r="E121" s="76" t="s">
        <v>167</v>
      </c>
      <c r="F121" s="65" t="s">
        <v>168</v>
      </c>
      <c r="G121" s="76" t="str">
        <f t="shared" si="17"/>
        <v/>
      </c>
      <c r="H121" s="255" t="str">
        <f t="shared" si="16"/>
        <v/>
      </c>
    </row>
    <row r="122" spans="1:12">
      <c r="B122" s="77" t="s">
        <v>24</v>
      </c>
      <c r="C122" s="77" t="s">
        <v>160</v>
      </c>
      <c r="D122" s="66" t="s">
        <v>163</v>
      </c>
      <c r="E122" s="76" t="s">
        <v>167</v>
      </c>
      <c r="F122" s="65" t="s">
        <v>169</v>
      </c>
      <c r="G122" s="76" t="str">
        <f t="shared" si="17"/>
        <v/>
      </c>
      <c r="H122" s="255" t="str">
        <f t="shared" si="16"/>
        <v/>
      </c>
    </row>
    <row r="123" spans="1:12">
      <c r="B123" s="77" t="s">
        <v>24</v>
      </c>
      <c r="C123" s="77" t="s">
        <v>160</v>
      </c>
      <c r="D123" s="66" t="s">
        <v>164</v>
      </c>
      <c r="E123" s="76" t="s">
        <v>166</v>
      </c>
      <c r="F123" s="65" t="s">
        <v>168</v>
      </c>
      <c r="G123" s="76" t="str">
        <f t="shared" si="17"/>
        <v/>
      </c>
      <c r="H123" s="255" t="str">
        <f t="shared" si="16"/>
        <v/>
      </c>
    </row>
    <row r="124" spans="1:12">
      <c r="B124" s="77" t="s">
        <v>24</v>
      </c>
      <c r="C124" s="77" t="s">
        <v>160</v>
      </c>
      <c r="D124" s="66" t="s">
        <v>164</v>
      </c>
      <c r="E124" s="76" t="s">
        <v>166</v>
      </c>
      <c r="F124" s="65" t="s">
        <v>169</v>
      </c>
      <c r="G124" s="76" t="str">
        <f t="shared" si="17"/>
        <v/>
      </c>
      <c r="H124" s="255" t="str">
        <f t="shared" si="16"/>
        <v/>
      </c>
    </row>
    <row r="125" spans="1:12">
      <c r="B125" s="77" t="s">
        <v>24</v>
      </c>
      <c r="C125" s="77" t="s">
        <v>160</v>
      </c>
      <c r="D125" s="66" t="s">
        <v>164</v>
      </c>
      <c r="E125" s="76" t="s">
        <v>167</v>
      </c>
      <c r="F125" s="65" t="s">
        <v>168</v>
      </c>
      <c r="G125" s="76" t="str">
        <f t="shared" si="17"/>
        <v/>
      </c>
      <c r="H125" s="255" t="str">
        <f t="shared" si="16"/>
        <v/>
      </c>
    </row>
    <row r="126" spans="1:12">
      <c r="B126" s="77" t="s">
        <v>24</v>
      </c>
      <c r="C126" s="77" t="s">
        <v>160</v>
      </c>
      <c r="D126" s="66" t="s">
        <v>164</v>
      </c>
      <c r="E126" s="76" t="s">
        <v>167</v>
      </c>
      <c r="F126" s="65" t="s">
        <v>169</v>
      </c>
      <c r="G126" s="76" t="str">
        <f t="shared" si="17"/>
        <v/>
      </c>
      <c r="H126" s="255" t="str">
        <f t="shared" si="16"/>
        <v/>
      </c>
    </row>
    <row r="127" spans="1:12">
      <c r="B127" s="77" t="s">
        <v>24</v>
      </c>
      <c r="C127" s="77" t="s">
        <v>161</v>
      </c>
      <c r="D127" s="66" t="s">
        <v>163</v>
      </c>
      <c r="E127" s="76" t="s">
        <v>166</v>
      </c>
      <c r="F127" s="65" t="s">
        <v>168</v>
      </c>
      <c r="G127" s="76" t="str">
        <f t="shared" si="17"/>
        <v/>
      </c>
      <c r="H127" s="255" t="str">
        <f t="shared" si="16"/>
        <v/>
      </c>
    </row>
    <row r="128" spans="1:12">
      <c r="B128" s="77" t="s">
        <v>24</v>
      </c>
      <c r="C128" s="77" t="s">
        <v>161</v>
      </c>
      <c r="D128" s="66" t="s">
        <v>163</v>
      </c>
      <c r="E128" s="76" t="s">
        <v>166</v>
      </c>
      <c r="F128" s="65" t="s">
        <v>169</v>
      </c>
      <c r="G128" s="76" t="str">
        <f t="shared" si="17"/>
        <v/>
      </c>
      <c r="H128" s="255" t="str">
        <f t="shared" si="16"/>
        <v/>
      </c>
    </row>
    <row r="129" spans="2:8">
      <c r="B129" s="77" t="s">
        <v>24</v>
      </c>
      <c r="C129" s="77" t="s">
        <v>161</v>
      </c>
      <c r="D129" s="66" t="s">
        <v>163</v>
      </c>
      <c r="E129" s="76" t="s">
        <v>167</v>
      </c>
      <c r="F129" s="65" t="s">
        <v>168</v>
      </c>
      <c r="G129" s="76" t="str">
        <f t="shared" si="17"/>
        <v/>
      </c>
      <c r="H129" s="255" t="str">
        <f t="shared" si="16"/>
        <v/>
      </c>
    </row>
    <row r="130" spans="2:8">
      <c r="B130" s="77" t="s">
        <v>24</v>
      </c>
      <c r="C130" s="77" t="s">
        <v>161</v>
      </c>
      <c r="D130" s="66" t="s">
        <v>163</v>
      </c>
      <c r="E130" s="76" t="s">
        <v>167</v>
      </c>
      <c r="F130" s="65" t="s">
        <v>169</v>
      </c>
      <c r="G130" s="76" t="str">
        <f t="shared" si="17"/>
        <v/>
      </c>
      <c r="H130" s="255" t="str">
        <f t="shared" si="16"/>
        <v/>
      </c>
    </row>
    <row r="131" spans="2:8">
      <c r="B131" s="77" t="s">
        <v>24</v>
      </c>
      <c r="C131" s="77" t="s">
        <v>161</v>
      </c>
      <c r="D131" s="66" t="s">
        <v>164</v>
      </c>
      <c r="E131" s="76" t="s">
        <v>166</v>
      </c>
      <c r="F131" s="65" t="s">
        <v>168</v>
      </c>
      <c r="G131" s="76" t="str">
        <f t="shared" si="17"/>
        <v/>
      </c>
      <c r="H131" s="255" t="str">
        <f t="shared" si="16"/>
        <v/>
      </c>
    </row>
    <row r="132" spans="2:8">
      <c r="B132" s="77" t="s">
        <v>24</v>
      </c>
      <c r="C132" s="77" t="s">
        <v>161</v>
      </c>
      <c r="D132" s="66" t="s">
        <v>164</v>
      </c>
      <c r="E132" s="76" t="s">
        <v>166</v>
      </c>
      <c r="F132" s="65" t="s">
        <v>169</v>
      </c>
      <c r="G132" s="76" t="str">
        <f t="shared" si="17"/>
        <v/>
      </c>
      <c r="H132" s="255" t="str">
        <f t="shared" si="16"/>
        <v/>
      </c>
    </row>
    <row r="133" spans="2:8">
      <c r="B133" s="77" t="s">
        <v>24</v>
      </c>
      <c r="C133" s="77" t="s">
        <v>161</v>
      </c>
      <c r="D133" s="66" t="s">
        <v>164</v>
      </c>
      <c r="E133" s="76" t="s">
        <v>167</v>
      </c>
      <c r="F133" s="65" t="s">
        <v>168</v>
      </c>
      <c r="G133" s="76" t="str">
        <f t="shared" si="17"/>
        <v/>
      </c>
      <c r="H133" s="255" t="str">
        <f t="shared" si="16"/>
        <v/>
      </c>
    </row>
    <row r="134" spans="2:8">
      <c r="B134" s="77" t="s">
        <v>24</v>
      </c>
      <c r="C134" s="77" t="s">
        <v>161</v>
      </c>
      <c r="D134" s="66" t="s">
        <v>164</v>
      </c>
      <c r="E134" s="76" t="s">
        <v>167</v>
      </c>
      <c r="F134" s="65" t="s">
        <v>169</v>
      </c>
      <c r="G134" s="76" t="str">
        <f t="shared" si="17"/>
        <v/>
      </c>
      <c r="H134" s="255" t="str">
        <f t="shared" si="16"/>
        <v/>
      </c>
    </row>
    <row r="135" spans="2:8">
      <c r="B135" s="77" t="s">
        <v>24</v>
      </c>
      <c r="C135" s="77" t="s">
        <v>162</v>
      </c>
      <c r="D135" s="66" t="s">
        <v>163</v>
      </c>
      <c r="E135" s="76" t="s">
        <v>166</v>
      </c>
      <c r="F135" s="65" t="s">
        <v>168</v>
      </c>
      <c r="G135" s="76" t="str">
        <f t="shared" si="17"/>
        <v/>
      </c>
      <c r="H135" s="255" t="str">
        <f t="shared" si="16"/>
        <v/>
      </c>
    </row>
    <row r="136" spans="2:8">
      <c r="B136" s="77" t="s">
        <v>24</v>
      </c>
      <c r="C136" s="77" t="s">
        <v>162</v>
      </c>
      <c r="D136" s="66" t="s">
        <v>163</v>
      </c>
      <c r="E136" s="77" t="s">
        <v>166</v>
      </c>
      <c r="F136" s="65" t="s">
        <v>169</v>
      </c>
      <c r="G136" s="76" t="str">
        <f t="shared" si="17"/>
        <v/>
      </c>
      <c r="H136" s="255" t="str">
        <f t="shared" si="16"/>
        <v/>
      </c>
    </row>
    <row r="137" spans="2:8">
      <c r="B137" s="77" t="s">
        <v>24</v>
      </c>
      <c r="C137" s="77" t="s">
        <v>162</v>
      </c>
      <c r="D137" s="66" t="s">
        <v>163</v>
      </c>
      <c r="E137" s="77" t="s">
        <v>167</v>
      </c>
      <c r="F137" s="65" t="s">
        <v>168</v>
      </c>
      <c r="G137" s="76" t="str">
        <f t="shared" si="17"/>
        <v/>
      </c>
      <c r="H137" s="255" t="str">
        <f t="shared" si="16"/>
        <v/>
      </c>
    </row>
    <row r="138" spans="2:8">
      <c r="B138" s="77" t="s">
        <v>24</v>
      </c>
      <c r="C138" s="77" t="s">
        <v>162</v>
      </c>
      <c r="D138" s="66" t="s">
        <v>163</v>
      </c>
      <c r="E138" s="77" t="s">
        <v>167</v>
      </c>
      <c r="F138" s="106" t="s">
        <v>169</v>
      </c>
      <c r="G138" s="76" t="str">
        <f t="shared" si="17"/>
        <v/>
      </c>
      <c r="H138" s="255" t="str">
        <f t="shared" si="16"/>
        <v/>
      </c>
    </row>
    <row r="139" spans="2:8">
      <c r="B139" s="77" t="s">
        <v>24</v>
      </c>
      <c r="C139" s="77" t="s">
        <v>162</v>
      </c>
      <c r="D139" s="65" t="s">
        <v>164</v>
      </c>
      <c r="E139" s="77" t="s">
        <v>166</v>
      </c>
      <c r="F139" s="65" t="s">
        <v>168</v>
      </c>
      <c r="G139" s="76" t="str">
        <f t="shared" si="17"/>
        <v/>
      </c>
      <c r="H139" s="255" t="str">
        <f t="shared" si="16"/>
        <v/>
      </c>
    </row>
    <row r="140" spans="2:8">
      <c r="B140" s="78" t="s">
        <v>24</v>
      </c>
      <c r="C140" s="78" t="s">
        <v>162</v>
      </c>
      <c r="D140" s="107" t="s">
        <v>164</v>
      </c>
      <c r="E140" s="114" t="s">
        <v>166</v>
      </c>
      <c r="F140" s="107" t="s">
        <v>169</v>
      </c>
      <c r="G140" s="163" t="str">
        <f t="shared" si="17"/>
        <v/>
      </c>
      <c r="H140" s="255" t="str">
        <f t="shared" si="16"/>
        <v/>
      </c>
    </row>
    <row r="141" spans="2:8">
      <c r="B141" s="76" t="s">
        <v>24</v>
      </c>
      <c r="C141" s="76" t="s">
        <v>162</v>
      </c>
      <c r="D141" s="67" t="s">
        <v>164</v>
      </c>
      <c r="E141" s="116" t="s">
        <v>167</v>
      </c>
      <c r="F141" s="69" t="s">
        <v>168</v>
      </c>
      <c r="G141" s="76" t="str">
        <f t="shared" si="17"/>
        <v/>
      </c>
      <c r="H141" s="255" t="str">
        <f t="shared" si="16"/>
        <v/>
      </c>
    </row>
    <row r="142" spans="2:8">
      <c r="B142" s="118" t="s">
        <v>24</v>
      </c>
      <c r="C142" s="118" t="s">
        <v>162</v>
      </c>
      <c r="D142" s="110" t="s">
        <v>164</v>
      </c>
      <c r="E142" s="117" t="s">
        <v>167</v>
      </c>
      <c r="F142" s="112" t="s">
        <v>169</v>
      </c>
      <c r="G142" s="118" t="str">
        <f t="shared" si="17"/>
        <v/>
      </c>
      <c r="H142" s="257" t="str">
        <f t="shared" si="16"/>
        <v/>
      </c>
    </row>
    <row r="143" spans="2:8">
      <c r="B143" s="113" t="s">
        <v>25</v>
      </c>
      <c r="C143" s="113" t="s">
        <v>160</v>
      </c>
      <c r="D143" s="109" t="s">
        <v>163</v>
      </c>
      <c r="E143" s="75" t="s">
        <v>166</v>
      </c>
      <c r="F143" s="108" t="s">
        <v>168</v>
      </c>
      <c r="G143" s="75" t="str">
        <f t="shared" ref="G143:G166" si="18">IF(K14="","",K14)</f>
        <v/>
      </c>
      <c r="H143" s="256" t="str">
        <f t="shared" si="16"/>
        <v/>
      </c>
    </row>
    <row r="144" spans="2:8">
      <c r="B144" s="77" t="s">
        <v>25</v>
      </c>
      <c r="C144" s="77" t="s">
        <v>160</v>
      </c>
      <c r="D144" s="66" t="s">
        <v>163</v>
      </c>
      <c r="E144" s="76" t="s">
        <v>166</v>
      </c>
      <c r="F144" s="65" t="s">
        <v>169</v>
      </c>
      <c r="G144" s="76" t="str">
        <f t="shared" si="18"/>
        <v/>
      </c>
      <c r="H144" s="255" t="str">
        <f t="shared" si="16"/>
        <v/>
      </c>
    </row>
    <row r="145" spans="2:8">
      <c r="B145" s="77" t="s">
        <v>25</v>
      </c>
      <c r="C145" s="77" t="s">
        <v>160</v>
      </c>
      <c r="D145" s="66" t="s">
        <v>163</v>
      </c>
      <c r="E145" s="76" t="s">
        <v>167</v>
      </c>
      <c r="F145" s="65" t="s">
        <v>168</v>
      </c>
      <c r="G145" s="76" t="str">
        <f t="shared" si="18"/>
        <v/>
      </c>
      <c r="H145" s="255" t="str">
        <f t="shared" si="16"/>
        <v/>
      </c>
    </row>
    <row r="146" spans="2:8">
      <c r="B146" s="77" t="s">
        <v>25</v>
      </c>
      <c r="C146" s="77" t="s">
        <v>160</v>
      </c>
      <c r="D146" s="66" t="s">
        <v>163</v>
      </c>
      <c r="E146" s="76" t="s">
        <v>167</v>
      </c>
      <c r="F146" s="65" t="s">
        <v>169</v>
      </c>
      <c r="G146" s="76" t="str">
        <f t="shared" si="18"/>
        <v/>
      </c>
      <c r="H146" s="255" t="str">
        <f t="shared" si="16"/>
        <v/>
      </c>
    </row>
    <row r="147" spans="2:8">
      <c r="B147" s="77" t="s">
        <v>25</v>
      </c>
      <c r="C147" s="77" t="s">
        <v>160</v>
      </c>
      <c r="D147" s="66" t="s">
        <v>164</v>
      </c>
      <c r="E147" s="76" t="s">
        <v>166</v>
      </c>
      <c r="F147" s="65" t="s">
        <v>168</v>
      </c>
      <c r="G147" s="76" t="str">
        <f t="shared" si="18"/>
        <v/>
      </c>
      <c r="H147" s="255" t="str">
        <f t="shared" si="16"/>
        <v/>
      </c>
    </row>
    <row r="148" spans="2:8">
      <c r="B148" s="77" t="s">
        <v>25</v>
      </c>
      <c r="C148" s="77" t="s">
        <v>160</v>
      </c>
      <c r="D148" s="66" t="s">
        <v>164</v>
      </c>
      <c r="E148" s="76" t="s">
        <v>166</v>
      </c>
      <c r="F148" s="65" t="s">
        <v>169</v>
      </c>
      <c r="G148" s="76" t="str">
        <f t="shared" si="18"/>
        <v/>
      </c>
      <c r="H148" s="255" t="str">
        <f t="shared" si="16"/>
        <v/>
      </c>
    </row>
    <row r="149" spans="2:8">
      <c r="B149" s="77" t="s">
        <v>25</v>
      </c>
      <c r="C149" s="77" t="s">
        <v>160</v>
      </c>
      <c r="D149" s="66" t="s">
        <v>164</v>
      </c>
      <c r="E149" s="76" t="s">
        <v>167</v>
      </c>
      <c r="F149" s="65" t="s">
        <v>168</v>
      </c>
      <c r="G149" s="76" t="str">
        <f t="shared" si="18"/>
        <v/>
      </c>
      <c r="H149" s="255" t="str">
        <f t="shared" si="16"/>
        <v/>
      </c>
    </row>
    <row r="150" spans="2:8">
      <c r="B150" s="77" t="s">
        <v>25</v>
      </c>
      <c r="C150" s="77" t="s">
        <v>160</v>
      </c>
      <c r="D150" s="66" t="s">
        <v>164</v>
      </c>
      <c r="E150" s="76" t="s">
        <v>167</v>
      </c>
      <c r="F150" s="65" t="s">
        <v>169</v>
      </c>
      <c r="G150" s="76" t="str">
        <f t="shared" si="18"/>
        <v/>
      </c>
      <c r="H150" s="255" t="str">
        <f t="shared" si="16"/>
        <v/>
      </c>
    </row>
    <row r="151" spans="2:8">
      <c r="B151" s="77" t="s">
        <v>25</v>
      </c>
      <c r="C151" s="77" t="s">
        <v>161</v>
      </c>
      <c r="D151" s="66" t="s">
        <v>163</v>
      </c>
      <c r="E151" s="76" t="s">
        <v>166</v>
      </c>
      <c r="F151" s="65" t="s">
        <v>168</v>
      </c>
      <c r="G151" s="76" t="str">
        <f t="shared" si="18"/>
        <v/>
      </c>
      <c r="H151" s="255" t="str">
        <f t="shared" si="16"/>
        <v/>
      </c>
    </row>
    <row r="152" spans="2:8">
      <c r="B152" s="77" t="s">
        <v>25</v>
      </c>
      <c r="C152" s="77" t="s">
        <v>161</v>
      </c>
      <c r="D152" s="66" t="s">
        <v>163</v>
      </c>
      <c r="E152" s="76" t="s">
        <v>166</v>
      </c>
      <c r="F152" s="65" t="s">
        <v>169</v>
      </c>
      <c r="G152" s="76" t="str">
        <f t="shared" si="18"/>
        <v/>
      </c>
      <c r="H152" s="255" t="str">
        <f t="shared" si="16"/>
        <v/>
      </c>
    </row>
    <row r="153" spans="2:8">
      <c r="B153" s="77" t="s">
        <v>25</v>
      </c>
      <c r="C153" s="77" t="s">
        <v>161</v>
      </c>
      <c r="D153" s="66" t="s">
        <v>163</v>
      </c>
      <c r="E153" s="76" t="s">
        <v>167</v>
      </c>
      <c r="F153" s="65" t="s">
        <v>168</v>
      </c>
      <c r="G153" s="76" t="str">
        <f t="shared" si="18"/>
        <v/>
      </c>
      <c r="H153" s="255" t="str">
        <f t="shared" si="16"/>
        <v/>
      </c>
    </row>
    <row r="154" spans="2:8">
      <c r="B154" s="77" t="s">
        <v>25</v>
      </c>
      <c r="C154" s="77" t="s">
        <v>161</v>
      </c>
      <c r="D154" s="66" t="s">
        <v>163</v>
      </c>
      <c r="E154" s="76" t="s">
        <v>167</v>
      </c>
      <c r="F154" s="65" t="s">
        <v>169</v>
      </c>
      <c r="G154" s="76" t="str">
        <f t="shared" si="18"/>
        <v/>
      </c>
      <c r="H154" s="255" t="str">
        <f t="shared" si="16"/>
        <v/>
      </c>
    </row>
    <row r="155" spans="2:8">
      <c r="B155" s="77" t="s">
        <v>25</v>
      </c>
      <c r="C155" s="77" t="s">
        <v>161</v>
      </c>
      <c r="D155" s="66" t="s">
        <v>164</v>
      </c>
      <c r="E155" s="76" t="s">
        <v>166</v>
      </c>
      <c r="F155" s="65" t="s">
        <v>168</v>
      </c>
      <c r="G155" s="76" t="str">
        <f t="shared" si="18"/>
        <v/>
      </c>
      <c r="H155" s="255" t="str">
        <f t="shared" si="16"/>
        <v/>
      </c>
    </row>
    <row r="156" spans="2:8">
      <c r="B156" s="77" t="s">
        <v>25</v>
      </c>
      <c r="C156" s="77" t="s">
        <v>161</v>
      </c>
      <c r="D156" s="66" t="s">
        <v>164</v>
      </c>
      <c r="E156" s="76" t="s">
        <v>166</v>
      </c>
      <c r="F156" s="65" t="s">
        <v>169</v>
      </c>
      <c r="G156" s="76" t="str">
        <f t="shared" si="18"/>
        <v/>
      </c>
      <c r="H156" s="255" t="str">
        <f t="shared" si="16"/>
        <v/>
      </c>
    </row>
    <row r="157" spans="2:8">
      <c r="B157" s="77" t="s">
        <v>25</v>
      </c>
      <c r="C157" s="77" t="s">
        <v>161</v>
      </c>
      <c r="D157" s="66" t="s">
        <v>164</v>
      </c>
      <c r="E157" s="76" t="s">
        <v>167</v>
      </c>
      <c r="F157" s="65" t="s">
        <v>168</v>
      </c>
      <c r="G157" s="76" t="str">
        <f t="shared" si="18"/>
        <v/>
      </c>
      <c r="H157" s="255" t="str">
        <f t="shared" si="16"/>
        <v/>
      </c>
    </row>
    <row r="158" spans="2:8">
      <c r="B158" s="77" t="s">
        <v>25</v>
      </c>
      <c r="C158" s="77" t="s">
        <v>161</v>
      </c>
      <c r="D158" s="66" t="s">
        <v>164</v>
      </c>
      <c r="E158" s="76" t="s">
        <v>167</v>
      </c>
      <c r="F158" s="65" t="s">
        <v>169</v>
      </c>
      <c r="G158" s="76" t="str">
        <f t="shared" si="18"/>
        <v/>
      </c>
      <c r="H158" s="255" t="str">
        <f t="shared" si="16"/>
        <v/>
      </c>
    </row>
    <row r="159" spans="2:8">
      <c r="B159" s="77" t="s">
        <v>25</v>
      </c>
      <c r="C159" s="77" t="s">
        <v>162</v>
      </c>
      <c r="D159" s="66" t="s">
        <v>163</v>
      </c>
      <c r="E159" s="76" t="s">
        <v>166</v>
      </c>
      <c r="F159" s="65" t="s">
        <v>168</v>
      </c>
      <c r="G159" s="76" t="str">
        <f t="shared" si="18"/>
        <v/>
      </c>
      <c r="H159" s="255" t="str">
        <f t="shared" si="16"/>
        <v/>
      </c>
    </row>
    <row r="160" spans="2:8">
      <c r="B160" s="77" t="s">
        <v>25</v>
      </c>
      <c r="C160" s="77" t="s">
        <v>162</v>
      </c>
      <c r="D160" s="66" t="s">
        <v>163</v>
      </c>
      <c r="E160" s="77" t="s">
        <v>166</v>
      </c>
      <c r="F160" s="65" t="s">
        <v>169</v>
      </c>
      <c r="G160" s="76" t="str">
        <f t="shared" si="18"/>
        <v/>
      </c>
      <c r="H160" s="255" t="str">
        <f t="shared" si="16"/>
        <v/>
      </c>
    </row>
    <row r="161" spans="1:9">
      <c r="B161" s="77" t="s">
        <v>25</v>
      </c>
      <c r="C161" s="77" t="s">
        <v>162</v>
      </c>
      <c r="D161" s="66" t="s">
        <v>163</v>
      </c>
      <c r="E161" s="77" t="s">
        <v>167</v>
      </c>
      <c r="F161" s="65" t="s">
        <v>168</v>
      </c>
      <c r="G161" s="76" t="str">
        <f t="shared" si="18"/>
        <v/>
      </c>
      <c r="H161" s="255" t="str">
        <f t="shared" si="16"/>
        <v/>
      </c>
    </row>
    <row r="162" spans="1:9">
      <c r="B162" s="77" t="s">
        <v>25</v>
      </c>
      <c r="C162" s="77" t="s">
        <v>162</v>
      </c>
      <c r="D162" s="66" t="s">
        <v>163</v>
      </c>
      <c r="E162" s="77" t="s">
        <v>167</v>
      </c>
      <c r="F162" s="106" t="s">
        <v>169</v>
      </c>
      <c r="G162" s="76" t="str">
        <f t="shared" si="18"/>
        <v/>
      </c>
      <c r="H162" s="255" t="str">
        <f t="shared" si="16"/>
        <v/>
      </c>
    </row>
    <row r="163" spans="1:9">
      <c r="B163" s="77" t="s">
        <v>25</v>
      </c>
      <c r="C163" s="77" t="s">
        <v>162</v>
      </c>
      <c r="D163" s="65" t="s">
        <v>164</v>
      </c>
      <c r="E163" s="77" t="s">
        <v>166</v>
      </c>
      <c r="F163" s="65" t="s">
        <v>168</v>
      </c>
      <c r="G163" s="76" t="str">
        <f t="shared" si="18"/>
        <v/>
      </c>
      <c r="H163" s="255" t="str">
        <f t="shared" si="16"/>
        <v/>
      </c>
    </row>
    <row r="164" spans="1:9">
      <c r="B164" s="78" t="s">
        <v>25</v>
      </c>
      <c r="C164" s="78" t="s">
        <v>162</v>
      </c>
      <c r="D164" s="107" t="s">
        <v>164</v>
      </c>
      <c r="E164" s="114" t="s">
        <v>166</v>
      </c>
      <c r="F164" s="107" t="s">
        <v>169</v>
      </c>
      <c r="G164" s="163" t="str">
        <f t="shared" si="18"/>
        <v/>
      </c>
      <c r="H164" s="255" t="str">
        <f t="shared" si="16"/>
        <v/>
      </c>
    </row>
    <row r="165" spans="1:9">
      <c r="B165" s="76" t="s">
        <v>25</v>
      </c>
      <c r="C165" s="76" t="s">
        <v>162</v>
      </c>
      <c r="D165" s="67" t="s">
        <v>164</v>
      </c>
      <c r="E165" s="116" t="s">
        <v>167</v>
      </c>
      <c r="F165" s="69" t="s">
        <v>168</v>
      </c>
      <c r="G165" s="76" t="str">
        <f t="shared" si="18"/>
        <v/>
      </c>
      <c r="H165" s="255" t="str">
        <f t="shared" si="16"/>
        <v/>
      </c>
    </row>
    <row r="166" spans="1:9">
      <c r="B166" s="118" t="s">
        <v>25</v>
      </c>
      <c r="C166" s="118" t="s">
        <v>162</v>
      </c>
      <c r="D166" s="110" t="s">
        <v>164</v>
      </c>
      <c r="E166" s="117" t="s">
        <v>167</v>
      </c>
      <c r="F166" s="112" t="s">
        <v>169</v>
      </c>
      <c r="G166" s="118" t="str">
        <f t="shared" si="18"/>
        <v/>
      </c>
      <c r="H166" s="257" t="str">
        <f t="shared" si="16"/>
        <v/>
      </c>
    </row>
    <row r="168" spans="1:9" ht="14.4">
      <c r="A168" s="237" t="s">
        <v>191</v>
      </c>
      <c r="B168" s="238"/>
      <c r="C168" s="238"/>
      <c r="D168" s="238"/>
      <c r="E168" s="238"/>
      <c r="F168" s="238"/>
      <c r="G168" s="238"/>
      <c r="H168" s="238"/>
      <c r="I168" s="238"/>
    </row>
    <row r="170" spans="1:9">
      <c r="B170" s="35" t="s">
        <v>192</v>
      </c>
    </row>
    <row r="171" spans="1:9">
      <c r="B171" s="35"/>
      <c r="C171" s="35" t="s">
        <v>193</v>
      </c>
    </row>
    <row r="173" spans="1:9">
      <c r="B173" s="24" t="s">
        <v>194</v>
      </c>
    </row>
    <row r="174" spans="1:9">
      <c r="B174" s="35" t="s">
        <v>212</v>
      </c>
    </row>
    <row r="175" spans="1:9" ht="13.8">
      <c r="B175" s="35"/>
      <c r="C175" s="240" t="s">
        <v>227</v>
      </c>
      <c r="D175" s="238"/>
      <c r="E175" s="238"/>
      <c r="F175" s="238"/>
      <c r="G175" s="238"/>
      <c r="H175" s="238"/>
      <c r="I175" s="238"/>
    </row>
    <row r="176" spans="1:9" ht="13.8">
      <c r="B176" s="35"/>
      <c r="C176" s="240" t="s">
        <v>228</v>
      </c>
      <c r="D176" s="238"/>
      <c r="E176" s="238"/>
      <c r="F176" s="238"/>
      <c r="G176" s="238"/>
      <c r="H176" s="238"/>
      <c r="I176" s="238"/>
    </row>
    <row r="177" spans="2:9" ht="13.8">
      <c r="B177" s="35"/>
      <c r="C177" s="240" t="s">
        <v>229</v>
      </c>
      <c r="D177" s="238"/>
      <c r="E177" s="238"/>
      <c r="F177" s="238"/>
      <c r="G177" s="238"/>
      <c r="H177" s="238"/>
      <c r="I177" s="238"/>
    </row>
    <row r="178" spans="2:9">
      <c r="B178" s="35"/>
    </row>
    <row r="179" spans="2:9">
      <c r="B179" s="35" t="s">
        <v>213</v>
      </c>
    </row>
    <row r="180" spans="2:9">
      <c r="B180" s="35" t="s">
        <v>200</v>
      </c>
    </row>
    <row r="181" spans="2:9" ht="13.8">
      <c r="B181" s="35"/>
      <c r="C181" s="240" t="s">
        <v>202</v>
      </c>
      <c r="D181" s="240"/>
      <c r="E181" s="240"/>
      <c r="F181" s="240"/>
      <c r="G181" s="238"/>
      <c r="H181" s="238"/>
      <c r="I181" s="238"/>
    </row>
    <row r="182" spans="2:9" ht="13.8">
      <c r="B182" s="35"/>
      <c r="C182" s="240" t="s">
        <v>203</v>
      </c>
      <c r="D182" s="238"/>
      <c r="E182" s="238"/>
      <c r="F182" s="238"/>
      <c r="G182" s="238"/>
      <c r="H182" s="238"/>
      <c r="I182" s="238"/>
    </row>
    <row r="183" spans="2:9">
      <c r="B183" s="35"/>
    </row>
    <row r="184" spans="2:9">
      <c r="B184" s="35" t="s">
        <v>201</v>
      </c>
    </row>
    <row r="185" spans="2:9">
      <c r="B185" s="35"/>
      <c r="C185" s="35" t="s">
        <v>238</v>
      </c>
    </row>
    <row r="186" spans="2:9">
      <c r="B186" s="35"/>
      <c r="C186" s="263" t="s">
        <v>239</v>
      </c>
    </row>
    <row r="187" spans="2:9">
      <c r="B187" s="35"/>
      <c r="C187" s="35" t="s">
        <v>244</v>
      </c>
    </row>
    <row r="188" spans="2:9">
      <c r="B188" s="35"/>
      <c r="C188" s="263" t="s">
        <v>240</v>
      </c>
    </row>
    <row r="189" spans="2:9">
      <c r="B189" s="35"/>
      <c r="C189" s="35" t="s">
        <v>241</v>
      </c>
    </row>
    <row r="190" spans="2:9">
      <c r="B190" s="35"/>
      <c r="C190" s="35" t="s">
        <v>242</v>
      </c>
    </row>
    <row r="191" spans="2:9">
      <c r="B191" s="35"/>
      <c r="C191" s="35"/>
    </row>
    <row r="192" spans="2:9">
      <c r="B192" s="35"/>
      <c r="C192" s="35" t="s">
        <v>243</v>
      </c>
    </row>
    <row r="193" spans="1:9" ht="13.8">
      <c r="C193" s="240" t="s">
        <v>230</v>
      </c>
      <c r="D193" s="238"/>
      <c r="E193" s="238"/>
      <c r="F193" s="238"/>
      <c r="G193" s="238"/>
      <c r="H193" s="238"/>
      <c r="I193" s="238"/>
    </row>
    <row r="194" spans="1:9" ht="13.8">
      <c r="C194" s="240" t="s">
        <v>228</v>
      </c>
      <c r="D194" s="238"/>
      <c r="E194" s="238"/>
      <c r="F194" s="238"/>
      <c r="G194" s="238"/>
      <c r="H194" s="238"/>
      <c r="I194" s="238"/>
    </row>
    <row r="195" spans="1:9" ht="13.8">
      <c r="C195" s="240" t="s">
        <v>229</v>
      </c>
      <c r="D195" s="238"/>
      <c r="E195" s="238"/>
      <c r="F195" s="238"/>
      <c r="G195" s="238"/>
      <c r="H195" s="238"/>
      <c r="I195" s="238"/>
    </row>
    <row r="196" spans="1:9" ht="15.6">
      <c r="A196" s="203"/>
    </row>
    <row r="197" spans="1:9" ht="15.6">
      <c r="A197" s="203"/>
      <c r="C197" s="35" t="s">
        <v>245</v>
      </c>
    </row>
    <row r="198" spans="1:9" ht="15.6">
      <c r="A198" s="203"/>
      <c r="C198" s="240" t="s">
        <v>246</v>
      </c>
      <c r="D198" s="238"/>
      <c r="E198" s="238"/>
      <c r="F198" s="238"/>
      <c r="G198" s="238"/>
      <c r="H198" s="238"/>
      <c r="I198" s="238"/>
    </row>
    <row r="199" spans="1:9" ht="15.6">
      <c r="A199" s="203"/>
      <c r="C199" s="240" t="s">
        <v>202</v>
      </c>
      <c r="D199" s="238"/>
      <c r="E199" s="238"/>
      <c r="F199" s="238"/>
      <c r="G199" s="238"/>
      <c r="H199" s="238"/>
      <c r="I199" s="238"/>
    </row>
    <row r="200" spans="1:9" ht="15.6">
      <c r="A200" s="203"/>
      <c r="C200" s="240" t="s">
        <v>278</v>
      </c>
      <c r="D200" s="238"/>
      <c r="E200" s="238"/>
      <c r="F200" s="238"/>
      <c r="G200" s="238"/>
      <c r="H200" s="238"/>
      <c r="I200" s="238"/>
    </row>
    <row r="201" spans="1:9" ht="15.6">
      <c r="A201" s="203"/>
      <c r="C201" s="240" t="s">
        <v>228</v>
      </c>
      <c r="D201" s="238"/>
      <c r="E201" s="238"/>
      <c r="F201" s="238"/>
      <c r="G201" s="238"/>
      <c r="H201" s="238"/>
      <c r="I201" s="238"/>
    </row>
    <row r="202" spans="1:9" ht="15.6">
      <c r="A202" s="203"/>
      <c r="C202" s="240" t="s">
        <v>274</v>
      </c>
      <c r="D202" s="238"/>
      <c r="E202" s="238"/>
      <c r="F202" s="238"/>
      <c r="G202" s="238"/>
      <c r="H202" s="238"/>
      <c r="I202" s="238"/>
    </row>
    <row r="203" spans="1:9" ht="15.6">
      <c r="A203" s="203"/>
    </row>
    <row r="204" spans="1:9" ht="15.6">
      <c r="A204" s="203"/>
      <c r="B204" s="35" t="s">
        <v>258</v>
      </c>
    </row>
    <row r="205" spans="1:9" ht="15.6">
      <c r="A205" s="203"/>
      <c r="C205" s="240" t="s">
        <v>275</v>
      </c>
      <c r="D205" s="238"/>
      <c r="E205" s="238"/>
      <c r="F205" s="238"/>
      <c r="G205" s="238"/>
      <c r="H205" s="238"/>
      <c r="I205" s="238"/>
    </row>
    <row r="206" spans="1:9" ht="13.8">
      <c r="C206" s="240" t="s">
        <v>276</v>
      </c>
      <c r="D206" s="238"/>
      <c r="E206" s="238"/>
      <c r="F206" s="238"/>
      <c r="G206" s="238"/>
      <c r="H206" s="238"/>
      <c r="I206" s="238"/>
    </row>
    <row r="207" spans="1:9" ht="13.8">
      <c r="C207" s="240" t="s">
        <v>277</v>
      </c>
      <c r="D207" s="238"/>
      <c r="E207" s="238"/>
      <c r="F207" s="238"/>
      <c r="G207" s="238"/>
      <c r="H207" s="238"/>
      <c r="I207" s="238"/>
    </row>
    <row r="210" spans="1:1">
      <c r="A210" s="264" t="s">
        <v>284</v>
      </c>
    </row>
  </sheetData>
  <sheetProtection sheet="1" objects="1" scenarios="1" formatCells="0"/>
  <mergeCells count="6">
    <mergeCell ref="G9:H9"/>
    <mergeCell ref="D2:H2"/>
    <mergeCell ref="D3:H3"/>
    <mergeCell ref="D4:H4"/>
    <mergeCell ref="G7:H7"/>
    <mergeCell ref="G8:H8"/>
  </mergeCells>
  <phoneticPr fontId="6" type="noConversion"/>
  <hyperlinks>
    <hyperlink ref="A210" r:id="rId1"/>
  </hyperlinks>
  <printOptions gridLines="1" gridLinesSet="0"/>
  <pageMargins left="0.78740157499999996" right="0.78740157499999996" top="0.984251969" bottom="0.984251969" header="0.4921259845" footer="0.4921259845"/>
  <pageSetup paperSize="9" orientation="portrait" horizontalDpi="360" verticalDpi="360" copies="0" r:id="rId2"/>
  <headerFooter alignWithMargins="0">
    <oddHeader>&amp;A</oddHeader>
    <oddFooter>Page 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125</vt:i4>
      </vt:variant>
    </vt:vector>
  </HeadingPairs>
  <TitlesOfParts>
    <vt:vector size="138" baseType="lpstr">
      <vt:lpstr>Plan mini</vt:lpstr>
      <vt:lpstr>2n 3n</vt:lpstr>
      <vt:lpstr>3n 3n</vt:lpstr>
      <vt:lpstr>2n 3n 2n</vt:lpstr>
      <vt:lpstr>ANOVA_HID</vt:lpstr>
      <vt:lpstr>ANOVA_HID1</vt:lpstr>
      <vt:lpstr>2n 3n 3n</vt:lpstr>
      <vt:lpstr>3n 3n 3n</vt:lpstr>
      <vt:lpstr>3n 2n 2n 2n</vt:lpstr>
      <vt:lpstr>3n 3n 2n 2n 2n</vt:lpstr>
      <vt:lpstr>ANOVA_HID2</vt:lpstr>
      <vt:lpstr>ANOVA1_HID</vt:lpstr>
      <vt:lpstr>ANOVA_HID3</vt:lpstr>
      <vt:lpstr>_SA1</vt:lpstr>
      <vt:lpstr>_SA2</vt:lpstr>
      <vt:lpstr>_SB1</vt:lpstr>
      <vt:lpstr>_SB2</vt:lpstr>
      <vt:lpstr>_SB3</vt:lpstr>
      <vt:lpstr>_SC1</vt:lpstr>
      <vt:lpstr>_SC2</vt:lpstr>
      <vt:lpstr>_SC3</vt:lpstr>
      <vt:lpstr>_TA1</vt:lpstr>
      <vt:lpstr>_TA2</vt:lpstr>
      <vt:lpstr>_TA3</vt:lpstr>
      <vt:lpstr>_TB1</vt:lpstr>
      <vt:lpstr>_TB2</vt:lpstr>
      <vt:lpstr>_TB3</vt:lpstr>
      <vt:lpstr>_TC1</vt:lpstr>
      <vt:lpstr>_TC2</vt:lpstr>
      <vt:lpstr>_TC3</vt:lpstr>
      <vt:lpstr>_UA1</vt:lpstr>
      <vt:lpstr>_UA2</vt:lpstr>
      <vt:lpstr>_UA3</vt:lpstr>
      <vt:lpstr>_UB1</vt:lpstr>
      <vt:lpstr>_UB2</vt:lpstr>
      <vt:lpstr>_UC1</vt:lpstr>
      <vt:lpstr>_UC2</vt:lpstr>
      <vt:lpstr>_UD1</vt:lpstr>
      <vt:lpstr>_UD2</vt:lpstr>
      <vt:lpstr>_va1</vt:lpstr>
      <vt:lpstr>_va2</vt:lpstr>
      <vt:lpstr>_va3</vt:lpstr>
      <vt:lpstr>_vb1</vt:lpstr>
      <vt:lpstr>_vb2</vt:lpstr>
      <vt:lpstr>_vb3</vt:lpstr>
      <vt:lpstr>_vc1</vt:lpstr>
      <vt:lpstr>_vc2</vt:lpstr>
      <vt:lpstr>_vd1</vt:lpstr>
      <vt:lpstr>_vd2</vt:lpstr>
      <vt:lpstr>_ve1</vt:lpstr>
      <vt:lpstr>_ve2</vt:lpstr>
      <vt:lpstr>ua1b1</vt:lpstr>
      <vt:lpstr>ua1b2</vt:lpstr>
      <vt:lpstr>ua1c1</vt:lpstr>
      <vt:lpstr>ua1c2</vt:lpstr>
      <vt:lpstr>ua1d1</vt:lpstr>
      <vt:lpstr>ua1d2</vt:lpstr>
      <vt:lpstr>ua2b1</vt:lpstr>
      <vt:lpstr>ua2b2</vt:lpstr>
      <vt:lpstr>ua2c1</vt:lpstr>
      <vt:lpstr>ua2c2</vt:lpstr>
      <vt:lpstr>ua2d1</vt:lpstr>
      <vt:lpstr>ua2d2</vt:lpstr>
      <vt:lpstr>ua3b1</vt:lpstr>
      <vt:lpstr>ua3b2</vt:lpstr>
      <vt:lpstr>ua3c1</vt:lpstr>
      <vt:lpstr>ua3c2</vt:lpstr>
      <vt:lpstr>ua3d1</vt:lpstr>
      <vt:lpstr>ua3d2</vt:lpstr>
      <vt:lpstr>ub1c1</vt:lpstr>
      <vt:lpstr>ub1c2</vt:lpstr>
      <vt:lpstr>ub1d1</vt:lpstr>
      <vt:lpstr>ub1d2</vt:lpstr>
      <vt:lpstr>ub2c1</vt:lpstr>
      <vt:lpstr>ub2c2</vt:lpstr>
      <vt:lpstr>ub2d1</vt:lpstr>
      <vt:lpstr>ub2d2</vt:lpstr>
      <vt:lpstr>uc1d1</vt:lpstr>
      <vt:lpstr>uc1d2</vt:lpstr>
      <vt:lpstr>uc2d1</vt:lpstr>
      <vt:lpstr>uc2d2</vt:lpstr>
      <vt:lpstr>va1b1</vt:lpstr>
      <vt:lpstr>va1b2</vt:lpstr>
      <vt:lpstr>va1b3</vt:lpstr>
      <vt:lpstr>va1c1</vt:lpstr>
      <vt:lpstr>va1c2</vt:lpstr>
      <vt:lpstr>va1d1</vt:lpstr>
      <vt:lpstr>va1d2</vt:lpstr>
      <vt:lpstr>va1e1</vt:lpstr>
      <vt:lpstr>va1e2</vt:lpstr>
      <vt:lpstr>va2b1</vt:lpstr>
      <vt:lpstr>va2b2</vt:lpstr>
      <vt:lpstr>va2b3</vt:lpstr>
      <vt:lpstr>va2c1</vt:lpstr>
      <vt:lpstr>va2c2</vt:lpstr>
      <vt:lpstr>va2d1</vt:lpstr>
      <vt:lpstr>va2d2</vt:lpstr>
      <vt:lpstr>va2e1</vt:lpstr>
      <vt:lpstr>va2e2</vt:lpstr>
      <vt:lpstr>va3b1</vt:lpstr>
      <vt:lpstr>va3b2</vt:lpstr>
      <vt:lpstr>va3b3</vt:lpstr>
      <vt:lpstr>va3c1</vt:lpstr>
      <vt:lpstr>va3c2</vt:lpstr>
      <vt:lpstr>va3d1</vt:lpstr>
      <vt:lpstr>va3d2</vt:lpstr>
      <vt:lpstr>va3e1</vt:lpstr>
      <vt:lpstr>va3e2</vt:lpstr>
      <vt:lpstr>vb1c1</vt:lpstr>
      <vt:lpstr>vb1c2</vt:lpstr>
      <vt:lpstr>vb1d1</vt:lpstr>
      <vt:lpstr>vb1d2</vt:lpstr>
      <vt:lpstr>vb1e1</vt:lpstr>
      <vt:lpstr>vb1e2</vt:lpstr>
      <vt:lpstr>vb2c1</vt:lpstr>
      <vt:lpstr>vb2c2</vt:lpstr>
      <vt:lpstr>vb2d1</vt:lpstr>
      <vt:lpstr>vb2d2</vt:lpstr>
      <vt:lpstr>vb2e1</vt:lpstr>
      <vt:lpstr>vb2e2</vt:lpstr>
      <vt:lpstr>vb3c1</vt:lpstr>
      <vt:lpstr>vb3c2</vt:lpstr>
      <vt:lpstr>vb3d1</vt:lpstr>
      <vt:lpstr>vb3d2</vt:lpstr>
      <vt:lpstr>vb3e1</vt:lpstr>
      <vt:lpstr>vb3e2</vt:lpstr>
      <vt:lpstr>vc1d1</vt:lpstr>
      <vt:lpstr>vc1d2</vt:lpstr>
      <vt:lpstr>vc1e1</vt:lpstr>
      <vt:lpstr>vc1e2</vt:lpstr>
      <vt:lpstr>vc2d1</vt:lpstr>
      <vt:lpstr>vc2d2</vt:lpstr>
      <vt:lpstr>vc2e1</vt:lpstr>
      <vt:lpstr>vc2e2</vt:lpstr>
      <vt:lpstr>vd1e1</vt:lpstr>
      <vt:lpstr>vd1e2</vt:lpstr>
      <vt:lpstr>vd2e1</vt:lpstr>
      <vt:lpstr>vd2e2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2006-03-11T15:57:31Z</dcterms:created>
  <dcterms:modified xsi:type="dcterms:W3CDTF">2015-02-22T16:16:43Z</dcterms:modified>
</cp:coreProperties>
</file>