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Default Extension="gif" ContentType="image/gif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72" yWindow="264" windowWidth="10656" windowHeight="6636" tabRatio="806" activeTab="1"/>
  </bookViews>
  <sheets>
    <sheet name="Plan mini " sheetId="7" r:id="rId1"/>
    <sheet name="2fact 2niv" sheetId="2" r:id="rId2"/>
    <sheet name="3fact 2niv" sheetId="3" r:id="rId3"/>
    <sheet name="4fact 2niv" sheetId="4" r:id="rId4"/>
    <sheet name="5fact 2niv" sheetId="5" r:id="rId5"/>
    <sheet name="6fact 2niv" sheetId="6" r:id="rId6"/>
  </sheets>
  <definedNames>
    <definedName name="_sa1">'6fact 2niv'!$H$15:$H$46</definedName>
    <definedName name="_sa2">'6fact 2niv'!$H$47:$H$78</definedName>
    <definedName name="_sb1">'6fact 2niv'!$H$15:$H$30,'6fact 2niv'!$H$47:$H$62</definedName>
    <definedName name="_sb2">'6fact 2niv'!$H$31:$H$46,'6fact 2niv'!$H$63:$H$78</definedName>
    <definedName name="_sc1">'6fact 2niv'!$H$15:$H$22,'6fact 2niv'!$H$31:$H$38,'6fact 2niv'!$H$47:$H$54,'6fact 2niv'!$H$63:$H$70</definedName>
    <definedName name="_sc2">'6fact 2niv'!$H$23:$H$30,'6fact 2niv'!$H$39:$H$46,'6fact 2niv'!$H$55:$H$62,'6fact 2niv'!$H$71:$H$78</definedName>
    <definedName name="_sd1">'6fact 2niv'!$H$15:$H$18,'6fact 2niv'!$H$23:$H$26,'6fact 2niv'!$H$31:$H$34,'6fact 2niv'!$H$39:$H$42,'6fact 2niv'!$H$47:$H$50,'6fact 2niv'!$H$55:$H$58,'6fact 2niv'!$H$63:$H$66,'6fact 2niv'!$H$71:$H$74</definedName>
    <definedName name="_sd2">'6fact 2niv'!$H$19:$H$22,'6fact 2niv'!$H$27:$H$30,'6fact 2niv'!$H$35:$H$38,'6fact 2niv'!$H$43:$H$46,'6fact 2niv'!$H$51:$H$54,'6fact 2niv'!$H$59:$H$62,'6fact 2niv'!$H$67:$H$70,'6fact 2niv'!$H$75:$H$78</definedName>
    <definedName name="_se1">'6fact 2niv'!$H$15:$H$16,'6fact 2niv'!$H$19:$H$20,'6fact 2niv'!$H$23:$H$24,'6fact 2niv'!$H$27:$H$28,'6fact 2niv'!$H$31:$H$32,'6fact 2niv'!$H$35:$H$36,'6fact 2niv'!$H$39:$H$40,'6fact 2niv'!$H$43:$H$44,'6fact 2niv'!$H$47:$H$48,'6fact 2niv'!$H$51:$H$52,'6fact 2niv'!$H$55:$H$56,'6fact 2niv'!$H$59:$H$60,'6fact 2niv'!$H$63:$H$64,'6fact 2niv'!$H$67:$H$68,'6fact 2niv'!$H$71:$H$72,'6fact 2niv'!$H$75:$H$76</definedName>
    <definedName name="_se2">'6fact 2niv'!$H$17:$H$18,'6fact 2niv'!$H$21:$H$22,'6fact 2niv'!$H$25:$H$26,'6fact 2niv'!$H$29:$H$30,'6fact 2niv'!$H$33:$H$34,'6fact 2niv'!$H$37:$H$38,'6fact 2niv'!$H$41:$H$42,'6fact 2niv'!$H$45:$H$46,'6fact 2niv'!$H$49:$H$50,'6fact 2niv'!$H$53:$H$54,'6fact 2niv'!$H$57:$H$58,'6fact 2niv'!$H$61:$H$62,'6fact 2niv'!$H$65:$H$66,'6fact 2niv'!$H$69:$H$70,'6fact 2niv'!$H$73:$H$74,'6fact 2niv'!$H$77:$H$78</definedName>
    <definedName name="_sf1">'6fact 2niv'!$H$15,'6fact 2niv'!$H$17,'6fact 2niv'!$H$19,'6fact 2niv'!$H$21,'6fact 2niv'!$H$23,'6fact 2niv'!$H$25,'6fact 2niv'!$H$27,'6fact 2niv'!$H$29,'6fact 2niv'!$H$31,'6fact 2niv'!$H$33,'6fact 2niv'!$H$35,'6fact 2niv'!$H$37,'6fact 2niv'!$H$39,'6fact 2niv'!$H$41,'6fact 2niv'!$H$43,'6fact 2niv'!$H$45,'6fact 2niv'!$H$47,'6fact 2niv'!$H$49,'6fact 2niv'!$H$51,'6fact 2niv'!$H$53,'6fact 2niv'!$H$55,'6fact 2niv'!$H$57,'6fact 2niv'!$H$59,'6fact 2niv'!$H$61,'6fact 2niv'!$H$63,'6fact 2niv'!$H$65,'6fact 2niv'!$H$67,'6fact 2niv'!$H$69,'6fact 2niv'!$H$71,'6fact 2niv'!$H$73,'6fact 2niv'!$H$75,'6fact 2niv'!$H$77</definedName>
    <definedName name="_sf2">'6fact 2niv'!$H$16,'6fact 2niv'!$H$18,'6fact 2niv'!$H$20,'6fact 2niv'!$H$22,'6fact 2niv'!$H$24,'6fact 2niv'!$H$26,'6fact 2niv'!$H$28,'6fact 2niv'!$H$30,'6fact 2niv'!$H$32,'6fact 2niv'!$H$34,'6fact 2niv'!$H$36,'6fact 2niv'!$H$38,'6fact 2niv'!$H$40,'6fact 2niv'!$H$42,'6fact 2niv'!$H$44,'6fact 2niv'!$H$46,'6fact 2niv'!$H$48,'6fact 2niv'!$H$50,'6fact 2niv'!$H$52,'6fact 2niv'!$H$54,'6fact 2niv'!$H$56,'6fact 2niv'!$H$58,'6fact 2niv'!$H$60,'6fact 2niv'!$H$62,'6fact 2niv'!$H$64,'6fact 2niv'!$H$66,'6fact 2niv'!$H$68,'6fact 2niv'!$H$70,'6fact 2niv'!$H$72,'6fact 2niv'!$H$74,'6fact 2niv'!$H$76,'6fact 2niv'!$H$78</definedName>
    <definedName name="bidon">'3fact 2niv'!#REF!</definedName>
    <definedName name="sa1b1">'6fact 2niv'!$H$15:$H$30</definedName>
    <definedName name="sa1b2">'6fact 2niv'!$H$31:$H$46</definedName>
    <definedName name="sa1c1">'6fact 2niv'!$H$15:$H$22,'6fact 2niv'!$H$31:$H$38</definedName>
    <definedName name="sa1c2">'6fact 2niv'!$H$23:$H$30,'6fact 2niv'!$H$39:$H$46</definedName>
    <definedName name="sa1d1">'6fact 2niv'!$H$15:$H$18,'6fact 2niv'!$H$23:$H$26,'6fact 2niv'!$H$31:$H$34,'6fact 2niv'!$H$39:$H$42</definedName>
    <definedName name="sa1d2">'6fact 2niv'!$H$19:$H$22,'6fact 2niv'!$H$27:$H$30,'6fact 2niv'!$H$35:$H$38,'6fact 2niv'!$H$43:$H$46</definedName>
    <definedName name="sa1e1">'6fact 2niv'!$H$15:$H$16,'6fact 2niv'!$H$19:$H$20,'6fact 2niv'!$H$23:$H$24,'6fact 2niv'!$H$27:$H$28,'6fact 2niv'!$H$31:$H$32,'6fact 2niv'!$H$35:$H$36,'6fact 2niv'!$H$39:$H$40,'6fact 2niv'!$H$43:$H$44</definedName>
    <definedName name="sa1e2">'6fact 2niv'!$H$17:$H$18,'6fact 2niv'!$H$21:$H$22,'6fact 2niv'!$H$25:$H$26,'6fact 2niv'!$H$29:$H$30,'6fact 2niv'!$H$33:$H$34,'6fact 2niv'!$H$37:$H$38,'6fact 2niv'!$H$41:$H$42,'6fact 2niv'!$H$45:$H$46</definedName>
    <definedName name="sa1f1">'6fact 2niv'!$H$15,'6fact 2niv'!$H$17,'6fact 2niv'!$H$19,'6fact 2niv'!$H$21,'6fact 2niv'!$H$23,'6fact 2niv'!$H$25,'6fact 2niv'!$H$27,'6fact 2niv'!$H$29,'6fact 2niv'!$H$31,'6fact 2niv'!$H$33,'6fact 2niv'!$H$35,'6fact 2niv'!$H$37,'6fact 2niv'!$H$39,'6fact 2niv'!$H$41,'6fact 2niv'!$H$43,'6fact 2niv'!$H$45</definedName>
    <definedName name="sa1f2">'6fact 2niv'!$H$16,'6fact 2niv'!$H$18,'6fact 2niv'!$H$20,'6fact 2niv'!$H$22,'6fact 2niv'!$H$24,'6fact 2niv'!$H$26,'6fact 2niv'!$H$28,'6fact 2niv'!$H$30,'6fact 2niv'!$H$32,'6fact 2niv'!$H$34,'6fact 2niv'!$H$36,'6fact 2niv'!$H$38,'6fact 2niv'!$H$40,'6fact 2niv'!$H$42,'6fact 2niv'!$H$44,'6fact 2niv'!$H$46</definedName>
    <definedName name="sa2b1">'6fact 2niv'!$H$47:$H$62</definedName>
    <definedName name="sa2b2">'6fact 2niv'!$H$63:$H$78</definedName>
    <definedName name="sa2c1">'6fact 2niv'!$H$47:$H$54,'6fact 2niv'!$H$63:$H$70</definedName>
    <definedName name="sa2c2">'6fact 2niv'!$H$55:$H$62,'6fact 2niv'!$H$71:$H$78</definedName>
    <definedName name="sa2d1">'6fact 2niv'!$H$47:$H$50,'6fact 2niv'!$H$55:$H$58,'6fact 2niv'!$H$63:$H$66,'6fact 2niv'!$H$71:$H$74</definedName>
    <definedName name="sa2d2">'6fact 2niv'!$H$51:$H$54,'6fact 2niv'!$H$59:$H$62,'6fact 2niv'!$H$67:$H$70,'6fact 2niv'!$H$75:$H$78</definedName>
    <definedName name="sa2e1">'6fact 2niv'!$H$47:$H$48,'6fact 2niv'!$H$51:$H$52,'6fact 2niv'!$H$55:$H$56,'6fact 2niv'!$H$59:$H$60,'6fact 2niv'!$H$63:$H$64,'6fact 2niv'!$H$67:$H$68,'6fact 2niv'!$H$71:$H$72,'6fact 2niv'!$H$75:$H$76</definedName>
    <definedName name="sa2e2">'6fact 2niv'!$H$49:$H$50,'6fact 2niv'!$H$53:$H$54,'6fact 2niv'!$H$57:$H$58,'6fact 2niv'!$H$61:$H$62,'6fact 2niv'!$H$65:$H$66,'6fact 2niv'!$H$69:$H$70,'6fact 2niv'!$H$73:$H$74,'6fact 2niv'!$H$77:$H$78</definedName>
    <definedName name="sa2f1">'6fact 2niv'!$H$47,'6fact 2niv'!$H$49,'6fact 2niv'!$H$51,'6fact 2niv'!$H$53,'6fact 2niv'!$H$55,'6fact 2niv'!$H$57,'6fact 2niv'!$H$59,'6fact 2niv'!$H$61,'6fact 2niv'!$H$63,'6fact 2niv'!$H$65,'6fact 2niv'!$H$67,'6fact 2niv'!$H$69,'6fact 2niv'!$H$71,'6fact 2niv'!$H$73,'6fact 2niv'!$H$75,'6fact 2niv'!$H$77</definedName>
    <definedName name="sa2f2">'6fact 2niv'!$H$48,'6fact 2niv'!$H$50,'6fact 2niv'!$H$52,'6fact 2niv'!$H$54,'6fact 2niv'!$H$56,'6fact 2niv'!$H$58,'6fact 2niv'!$H$60,'6fact 2niv'!$H$62,'6fact 2niv'!$H$64,'6fact 2niv'!$H$66,'6fact 2niv'!$H$68,'6fact 2niv'!$H$70,'6fact 2niv'!$H$72,'6fact 2niv'!$H$74,'6fact 2niv'!$H$76,'6fact 2niv'!$H$78</definedName>
    <definedName name="sb1c1">'6fact 2niv'!$H$15:$H$22,'6fact 2niv'!$H$47:$H$54</definedName>
    <definedName name="sb1c2">'6fact 2niv'!$H$23:$H$30,'6fact 2niv'!$H$55:$H$62</definedName>
    <definedName name="sb1d1">'6fact 2niv'!$H$15:$H$18,'6fact 2niv'!$H$23:$H$26,'6fact 2niv'!$H$47:$H$50,'6fact 2niv'!$H$55:$H$58</definedName>
    <definedName name="sb1d2">'6fact 2niv'!$H$19:$H$22,'6fact 2niv'!$H$27:$H$30,'6fact 2niv'!$H$51:$H$54,'6fact 2niv'!$H$59:$H$62</definedName>
    <definedName name="sb1e1">'6fact 2niv'!$H$15:$H$16,'6fact 2niv'!$H$19:$H$20,'6fact 2niv'!$H$23:$H$24,'6fact 2niv'!$H$27:$H$28,'6fact 2niv'!$H$47:$H$48,'6fact 2niv'!$H$51:$H$52,'6fact 2niv'!$H$55:$H$56,'6fact 2niv'!$H$59:$H$60</definedName>
    <definedName name="sb1e2">'6fact 2niv'!$H$17:$H$18,'6fact 2niv'!$H$21:$H$22,'6fact 2niv'!$H$25:$H$26,'6fact 2niv'!$H$29:$H$30,'6fact 2niv'!$H$49:$H$50,'6fact 2niv'!$H$53:$H$54,'6fact 2niv'!$H$57:$H$58,'6fact 2niv'!$H$61:$H$62</definedName>
    <definedName name="sb1f1">'6fact 2niv'!$H$15,'6fact 2niv'!$H$17,'6fact 2niv'!$H$19,'6fact 2niv'!$H$21,'6fact 2niv'!$H$23,'6fact 2niv'!$H$25,'6fact 2niv'!$H$27,'6fact 2niv'!$H$29,'6fact 2niv'!$H$47,'6fact 2niv'!$H$49,'6fact 2niv'!$H$51,'6fact 2niv'!$H$53,'6fact 2niv'!$H$55,'6fact 2niv'!$H$57,'6fact 2niv'!$H$59,'6fact 2niv'!$H$61</definedName>
    <definedName name="sb1f2">'6fact 2niv'!$H$16,'6fact 2niv'!$H$18,'6fact 2niv'!$H$20,'6fact 2niv'!$H$22,'6fact 2niv'!$H$24,'6fact 2niv'!$H$26,'6fact 2niv'!$H$28,'6fact 2niv'!$H$30,'6fact 2niv'!$H$48,'6fact 2niv'!$H$50,'6fact 2niv'!$H$52,'6fact 2niv'!$H$54,'6fact 2niv'!$H$56,'6fact 2niv'!$H$58,'6fact 2niv'!$H$60,'6fact 2niv'!$H$62</definedName>
    <definedName name="sb2c1">'6fact 2niv'!$H$31:$H$38,'6fact 2niv'!$H$63:$H$70</definedName>
    <definedName name="sb2c2">'6fact 2niv'!$H$39:$H$46,'6fact 2niv'!$H$71:$H$78</definedName>
    <definedName name="sb2d1">'6fact 2niv'!$H$31:$H$34,'6fact 2niv'!$H$39:$H$42,'6fact 2niv'!$H$63:$H$66,'6fact 2niv'!$H$71:$H$74</definedName>
    <definedName name="sb2d2">'6fact 2niv'!$H$35:$H$38,'6fact 2niv'!$H$43:$H$46,'6fact 2niv'!$H$67:$H$70,'6fact 2niv'!$H$75:$H$78</definedName>
    <definedName name="sb2e1">'6fact 2niv'!$H$31:$H$32,'6fact 2niv'!$H$35:$H$36,'6fact 2niv'!$H$39:$H$40,'6fact 2niv'!$H$43:$H$44,'6fact 2niv'!$H$63:$H$64,'6fact 2niv'!$H$67:$H$68,'6fact 2niv'!$H$71:$H$72,'6fact 2niv'!$H$75:$H$76</definedName>
    <definedName name="sb2e2">'6fact 2niv'!$H$33:$H$34,'6fact 2niv'!$H$37:$H$38,'6fact 2niv'!$H$41:$H$42,'6fact 2niv'!$H$45:$H$46,'6fact 2niv'!$H$65:$H$66,'6fact 2niv'!$H$69:$H$70,'6fact 2niv'!$H$73:$H$74,'6fact 2niv'!$H$77:$H$78</definedName>
    <definedName name="sb2f1">'6fact 2niv'!$H$31,'6fact 2niv'!$H$33,'6fact 2niv'!$H$35,'6fact 2niv'!$H$37,'6fact 2niv'!$H$39,'6fact 2niv'!$H$41,'6fact 2niv'!$H$43,'6fact 2niv'!$H$45,'6fact 2niv'!$H$63,'6fact 2niv'!$H$65,'6fact 2niv'!$H$67,'6fact 2niv'!$H$69,'6fact 2niv'!$H$71,'6fact 2niv'!$H$73,'6fact 2niv'!$H$75,'6fact 2niv'!$H$77</definedName>
    <definedName name="sb2f2">'6fact 2niv'!$H$32,'6fact 2niv'!$H$34,'6fact 2niv'!$H$36,'6fact 2niv'!$H$38,'6fact 2niv'!$H$40,'6fact 2niv'!$H$42,'6fact 2niv'!$H$44,'6fact 2niv'!$H$46,'6fact 2niv'!$H$64,'6fact 2niv'!$H$66,'6fact 2niv'!$H$68,'6fact 2niv'!$H$70,'6fact 2niv'!$H$72,'6fact 2niv'!$H$74,'6fact 2niv'!$H$76,'6fact 2niv'!$H$78</definedName>
    <definedName name="SC1D1">'6fact 2niv'!$H$15:$H$18,'6fact 2niv'!$H$31:$H$34,'6fact 2niv'!$H$47:$H$50,'6fact 2niv'!$H$63:$H$66</definedName>
    <definedName name="SC1D2">'6fact 2niv'!$H$19:$H$22,'6fact 2niv'!$H$35:$H$38,'6fact 2niv'!$H$51:$H$54,'6fact 2niv'!$H$67:$H$70</definedName>
    <definedName name="SC1E1">'6fact 2niv'!$H$15:$H$16,'6fact 2niv'!$H$19:$H$20,'6fact 2niv'!$H$31:$H$32,'6fact 2niv'!$H$35:$H$36,'6fact 2niv'!$H$47:$H$48,'6fact 2niv'!$H$51:$H$52,'6fact 2niv'!$H$63:$H$64,'6fact 2niv'!$H$67:$H$68</definedName>
    <definedName name="SC1E2">'6fact 2niv'!$H$17:$H$18,'6fact 2niv'!$H$21:$H$22,'6fact 2niv'!$H$33:$H$34,'6fact 2niv'!$H$37:$H$38,'6fact 2niv'!$H$49:$H$50,'6fact 2niv'!$H$53:$H$54,'6fact 2niv'!$H$65:$H$66,'6fact 2niv'!$H$69:$H$70</definedName>
    <definedName name="SC1F1">'6fact 2niv'!$H$15,'6fact 2niv'!$H$17,'6fact 2niv'!$H$19,'6fact 2niv'!$H$21,'6fact 2niv'!$H$31,'6fact 2niv'!$H$33,'6fact 2niv'!$H$35,'6fact 2niv'!$H$37,'6fact 2niv'!$H$47,'6fact 2niv'!$H$49,'6fact 2niv'!$H$51,'6fact 2niv'!$H$53,'6fact 2niv'!$H$63,'6fact 2niv'!$H$65,'6fact 2niv'!$H$67,'6fact 2niv'!$H$69</definedName>
    <definedName name="SC1F2">'6fact 2niv'!$H$16,'6fact 2niv'!$H$18,'6fact 2niv'!$H$20,'6fact 2niv'!$H$22,'6fact 2niv'!$H$32,'6fact 2niv'!$H$34,'6fact 2niv'!$H$36,'6fact 2niv'!$H$38,'6fact 2niv'!$H$48,'6fact 2niv'!$H$50,'6fact 2niv'!$H$52,'6fact 2niv'!$H$54,'6fact 2niv'!$H$64,'6fact 2niv'!$H$66,'6fact 2niv'!$H$68,'6fact 2niv'!$H$70</definedName>
    <definedName name="SC2D1">'6fact 2niv'!$H$23:$H$26,'6fact 2niv'!$H$39:$H$42,'6fact 2niv'!$H$55:$H$58,'6fact 2niv'!$H$71:$H$74</definedName>
    <definedName name="SC2D2">'6fact 2niv'!$H$27:$H$30,'6fact 2niv'!$H$43:$H$46,'6fact 2niv'!$H$59:$H$62,'6fact 2niv'!$H$75:$H$78</definedName>
    <definedName name="SC2E1">'6fact 2niv'!$H$23:$H$24,'6fact 2niv'!$H$27:$H$28,'6fact 2niv'!$H$39:$H$40,'6fact 2niv'!$H$43:$H$44,'6fact 2niv'!$H$55:$H$56,'6fact 2niv'!$H$59:$H$60,'6fact 2niv'!$H$71:$H$72,'6fact 2niv'!$H$75:$H$76</definedName>
    <definedName name="SC2E2">'6fact 2niv'!$H$25:$H$26,'6fact 2niv'!$H$29:$H$30,'6fact 2niv'!$H$41:$H$42,'6fact 2niv'!$H$45:$H$46,'6fact 2niv'!$H$57:$H$58,'6fact 2niv'!$H$61:$H$62,'6fact 2niv'!$H$73:$H$74,'6fact 2niv'!$H$77:$H$78</definedName>
    <definedName name="SC2F1">'6fact 2niv'!$H$23,'6fact 2niv'!$H$25,'6fact 2niv'!$H$27,'6fact 2niv'!$H$29,'6fact 2niv'!$H$39,'6fact 2niv'!$H$41,'6fact 2niv'!$H$43,'6fact 2niv'!$H$45,'6fact 2niv'!$H$55,'6fact 2niv'!$H$57,'6fact 2niv'!$H$59,'6fact 2niv'!$H$61,'6fact 2niv'!$H$71,'6fact 2niv'!$H$73,'6fact 2niv'!$H$75,'6fact 2niv'!$H$77</definedName>
    <definedName name="SC2F2">'6fact 2niv'!$H$24,'6fact 2niv'!$H$26,'6fact 2niv'!$H$28,'6fact 2niv'!$H$30,'6fact 2niv'!$H$40,'6fact 2niv'!$H$42,'6fact 2niv'!$H$44,'6fact 2niv'!$H$46,'6fact 2niv'!$H$56,'6fact 2niv'!$H$58,'6fact 2niv'!$H$60,'6fact 2niv'!$H$62,'6fact 2niv'!$H$72,'6fact 2niv'!$H$74,'6fact 2niv'!$H$76,'6fact 2niv'!$H$78</definedName>
    <definedName name="SD1E1">'6fact 2niv'!$H$15:$H$16,'6fact 2niv'!$H$23:$H$24,'6fact 2niv'!$H$31:$H$32,'6fact 2niv'!$H$39:$H$40,'6fact 2niv'!$H$47:$H$48,'6fact 2niv'!$H$55:$H$56,'6fact 2niv'!$H$63:$H$64,'6fact 2niv'!$H$71:$H$72</definedName>
    <definedName name="SD1E2">'6fact 2niv'!$H$17:$H$18,'6fact 2niv'!$H$25:$H$26,'6fact 2niv'!$H$33:$H$34,'6fact 2niv'!$H$41:$H$42,'6fact 2niv'!$H$49:$H$50,'6fact 2niv'!$H$57:$H$58,'6fact 2niv'!$H$65:$H$66,'6fact 2niv'!$H$73:$H$74</definedName>
    <definedName name="sd1f1">'6fact 2niv'!$H$15,'6fact 2niv'!$H$17,'6fact 2niv'!$H$23,'6fact 2niv'!$H$25,'6fact 2niv'!$H$31,'6fact 2niv'!$H$33,'6fact 2niv'!$H$39,'6fact 2niv'!$H$41,'6fact 2niv'!$H$47,'6fact 2niv'!$H$49,'6fact 2niv'!$H$55,'6fact 2niv'!$H$57,'6fact 2niv'!$H$63,'6fact 2niv'!$H$65,'6fact 2niv'!$H$71,'6fact 2niv'!$H$73</definedName>
    <definedName name="sd1f2">'6fact 2niv'!$H$16,'6fact 2niv'!$H$18,'6fact 2niv'!$H$24,'6fact 2niv'!$H$26,'6fact 2niv'!$H$32,'6fact 2niv'!$H$34,'6fact 2niv'!$H$40,'6fact 2niv'!$H$42,'6fact 2niv'!$H$48,'6fact 2niv'!$H$50,'6fact 2niv'!$H$56,'6fact 2niv'!$H$58,'6fact 2niv'!$H$64,'6fact 2niv'!$H$66,'6fact 2niv'!$H$72,'6fact 2niv'!$H$74</definedName>
    <definedName name="SD2E1">'6fact 2niv'!$H$19:$H$20,'6fact 2niv'!$H$27:$H$28,'6fact 2niv'!$H$35:$H$36,'6fact 2niv'!$H$43:$H$44,'6fact 2niv'!$H$51:$H$52,'6fact 2niv'!$H$59:$H$60,'6fact 2niv'!$H$67:$H$68,'6fact 2niv'!$H$75:$H$76</definedName>
    <definedName name="sd2e2">'6fact 2niv'!$H$21:$H$22,'6fact 2niv'!$H$29:$H$30,'6fact 2niv'!$H$37:$H$38,'6fact 2niv'!$H$45:$H$46,'6fact 2niv'!$H$53:$H$54,'6fact 2niv'!$H$61:$H$62,'6fact 2niv'!$H$69:$H$70,'6fact 2niv'!$H$77:$H$78</definedName>
    <definedName name="sd2f1">'6fact 2niv'!$H$19,'6fact 2niv'!$H$21,'6fact 2niv'!$H$27,'6fact 2niv'!$H$29,'6fact 2niv'!$H$35,'6fact 2niv'!$H$37,'6fact 2niv'!$H$43,'6fact 2niv'!$H$45,'6fact 2niv'!$H$51,'6fact 2niv'!$H$53,'6fact 2niv'!$H$59,'6fact 2niv'!$H$61,'6fact 2niv'!$H$67,'6fact 2niv'!$H$69,'6fact 2niv'!$H$75,'6fact 2niv'!$H$77</definedName>
    <definedName name="sd2f2">'6fact 2niv'!$H$20,'6fact 2niv'!$H$22,'6fact 2niv'!$H$28,'6fact 2niv'!$H$30,'6fact 2niv'!$H$36,'6fact 2niv'!$H$38,'6fact 2niv'!$H$44,'6fact 2niv'!$H$46,'6fact 2niv'!$H$52,'6fact 2niv'!$H$54,'6fact 2niv'!$H$60,'6fact 2niv'!$H$62,'6fact 2niv'!$H$68,'6fact 2niv'!$H$70,'6fact 2niv'!$H$76,'6fact 2niv'!$H$78</definedName>
    <definedName name="se1f1">'6fact 2niv'!$H$15,'6fact 2niv'!$H$19,'6fact 2niv'!$H$23,'6fact 2niv'!$H$27,'6fact 2niv'!$H$31,'6fact 2niv'!$H$35,'6fact 2niv'!$H$39,'6fact 2niv'!$H$43,'6fact 2niv'!$H$47,'6fact 2niv'!$H$51,'6fact 2niv'!$H$55,'6fact 2niv'!$H$59,'6fact 2niv'!$H$63,'6fact 2niv'!$H$67,'6fact 2niv'!$H$71,'6fact 2niv'!$H$75</definedName>
    <definedName name="se1f2">'6fact 2niv'!$H$16,'6fact 2niv'!$H$20,'6fact 2niv'!$H$24,'6fact 2niv'!$H$28,'6fact 2niv'!$H$32,'6fact 2niv'!$H$36,'6fact 2niv'!$H$40,'6fact 2niv'!$H$44,'6fact 2niv'!$H$48,'6fact 2niv'!$H$52,'6fact 2niv'!$H$56,'6fact 2niv'!$H$60,'6fact 2niv'!$H$64,'6fact 2niv'!$H$68,'6fact 2niv'!$H$72,'6fact 2niv'!$H$76</definedName>
    <definedName name="se2f1">'6fact 2niv'!$H$17,'6fact 2niv'!$H$21,'6fact 2niv'!$H$25,'6fact 2niv'!$H$29,'6fact 2niv'!$H$33,'6fact 2niv'!$H$37,'6fact 2niv'!$H$41,'6fact 2niv'!$H$45,'6fact 2niv'!$H$49,'6fact 2niv'!$H$53,'6fact 2niv'!$H$57,'6fact 2niv'!$H$61,'6fact 2niv'!$H$65,'6fact 2niv'!$H$69,'6fact 2niv'!$H$73,'6fact 2niv'!$H$77</definedName>
    <definedName name="se2f2">'6fact 2niv'!$H$18,'6fact 2niv'!$H$22,'6fact 2niv'!$H$26,'6fact 2niv'!$H$30,'6fact 2niv'!$H$34,'6fact 2niv'!$H$38,'6fact 2niv'!$H$42,'6fact 2niv'!$H$46,'6fact 2niv'!$H$50,'6fact 2niv'!$H$54,'6fact 2niv'!$H$58,'6fact 2niv'!$H$62,'6fact 2niv'!$H$66,'6fact 2niv'!$H$70,'6fact 2niv'!$H$74,'6fact 2niv'!$H$78</definedName>
    <definedName name="Valeurs">'3fact 2niv'!$F$12:$J$19</definedName>
    <definedName name="xdata1" hidden="1">0+(ROW(OFFSET(#REF!,0,0,70,1))-1)*0.579710144927536</definedName>
    <definedName name="xdata2" hidden="1">0+(ROW(OFFSET(#REF!,0,0,70,1))-1)*0.579710144927536</definedName>
    <definedName name="ydata1" hidden="1">0+1*[0]!xdata1-9.662366360509*(1.015625+([0]!xdata1-17.83665625)^2/2559.2483019375)^0.5</definedName>
    <definedName name="ydata2" hidden="1">0+1*[0]!xdata2+9.662366360509*(1.015625+([0]!xdata2-17.83665625)^2/2559.2483019375)^0.5</definedName>
  </definedNames>
  <calcPr calcId="125725"/>
</workbook>
</file>

<file path=xl/calcChain.xml><?xml version="1.0" encoding="utf-8"?>
<calcChain xmlns="http://schemas.openxmlformats.org/spreadsheetml/2006/main">
  <c r="H149" i="5"/>
  <c r="I149" s="1"/>
  <c r="H147"/>
  <c r="I147" s="1"/>
  <c r="H145"/>
  <c r="I145" s="1"/>
  <c r="H143"/>
  <c r="I143" s="1"/>
  <c r="H141"/>
  <c r="I141" s="1"/>
  <c r="H139"/>
  <c r="I139" s="1"/>
  <c r="H137"/>
  <c r="I137" s="1"/>
  <c r="H135"/>
  <c r="I135" s="1"/>
  <c r="H133"/>
  <c r="I133" s="1"/>
  <c r="H131"/>
  <c r="I131" s="1"/>
  <c r="H129"/>
  <c r="I129" s="1"/>
  <c r="H127"/>
  <c r="I127" s="1"/>
  <c r="H125"/>
  <c r="I125" s="1"/>
  <c r="H123"/>
  <c r="I123" s="1"/>
  <c r="H121"/>
  <c r="I121" s="1"/>
  <c r="H87"/>
  <c r="I87" s="1"/>
  <c r="F45" i="3"/>
  <c r="G45" s="1"/>
  <c r="F46"/>
  <c r="G46" s="1"/>
  <c r="F47"/>
  <c r="G47" s="1"/>
  <c r="F48"/>
  <c r="G48" s="1"/>
  <c r="F49"/>
  <c r="G49" s="1"/>
  <c r="F50"/>
  <c r="G50" s="1"/>
  <c r="F51"/>
  <c r="G51" s="1"/>
  <c r="E35" i="2"/>
  <c r="F35" s="1"/>
  <c r="E36"/>
  <c r="F36" s="1"/>
  <c r="E37"/>
  <c r="F37" s="1"/>
  <c r="E34"/>
  <c r="F34" s="1"/>
  <c r="I343" i="6"/>
  <c r="J343" s="1"/>
  <c r="I344"/>
  <c r="J344" s="1"/>
  <c r="I345"/>
  <c r="J345" s="1"/>
  <c r="I346"/>
  <c r="J346" s="1"/>
  <c r="I347"/>
  <c r="J347" s="1"/>
  <c r="I348"/>
  <c r="J348" s="1"/>
  <c r="I349"/>
  <c r="J349" s="1"/>
  <c r="I350"/>
  <c r="J350" s="1"/>
  <c r="I351"/>
  <c r="J351" s="1"/>
  <c r="I352"/>
  <c r="J352" s="1"/>
  <c r="I353"/>
  <c r="J353" s="1"/>
  <c r="I354"/>
  <c r="J354" s="1"/>
  <c r="I355"/>
  <c r="J355" s="1"/>
  <c r="I356"/>
  <c r="J356" s="1"/>
  <c r="I357"/>
  <c r="J357" s="1"/>
  <c r="I358"/>
  <c r="J358" s="1"/>
  <c r="I359"/>
  <c r="J359" s="1"/>
  <c r="I360"/>
  <c r="J360" s="1"/>
  <c r="I361"/>
  <c r="J361" s="1"/>
  <c r="I362"/>
  <c r="J362" s="1"/>
  <c r="I363"/>
  <c r="J363" s="1"/>
  <c r="I364"/>
  <c r="J364" s="1"/>
  <c r="I365"/>
  <c r="J365" s="1"/>
  <c r="I366"/>
  <c r="J366" s="1"/>
  <c r="I367"/>
  <c r="J367" s="1"/>
  <c r="I368"/>
  <c r="J368" s="1"/>
  <c r="I369"/>
  <c r="J369" s="1"/>
  <c r="I370"/>
  <c r="J370" s="1"/>
  <c r="I371"/>
  <c r="J371" s="1"/>
  <c r="I372"/>
  <c r="J372" s="1"/>
  <c r="I373"/>
  <c r="J373" s="1"/>
  <c r="I374"/>
  <c r="J374" s="1"/>
  <c r="I375"/>
  <c r="J375" s="1"/>
  <c r="I376"/>
  <c r="J376" s="1"/>
  <c r="I377"/>
  <c r="J377" s="1"/>
  <c r="I378"/>
  <c r="J378" s="1"/>
  <c r="I379"/>
  <c r="J379" s="1"/>
  <c r="I380"/>
  <c r="J380" s="1"/>
  <c r="I381"/>
  <c r="J381" s="1"/>
  <c r="I382"/>
  <c r="J382" s="1"/>
  <c r="I383"/>
  <c r="J383" s="1"/>
  <c r="I384"/>
  <c r="J384" s="1"/>
  <c r="I385"/>
  <c r="J385" s="1"/>
  <c r="I386"/>
  <c r="J386" s="1"/>
  <c r="I387"/>
  <c r="J387" s="1"/>
  <c r="I388"/>
  <c r="J388" s="1"/>
  <c r="I389"/>
  <c r="J389" s="1"/>
  <c r="I390"/>
  <c r="J390" s="1"/>
  <c r="I391"/>
  <c r="J391" s="1"/>
  <c r="I392"/>
  <c r="J392" s="1"/>
  <c r="I393"/>
  <c r="J393" s="1"/>
  <c r="I394"/>
  <c r="J394" s="1"/>
  <c r="I395"/>
  <c r="J395" s="1"/>
  <c r="I396"/>
  <c r="J396" s="1"/>
  <c r="I397"/>
  <c r="J397" s="1"/>
  <c r="I398"/>
  <c r="J398" s="1"/>
  <c r="I399"/>
  <c r="J399" s="1"/>
  <c r="I400"/>
  <c r="J400" s="1"/>
  <c r="I401"/>
  <c r="J401" s="1"/>
  <c r="I402"/>
  <c r="J402" s="1"/>
  <c r="I403"/>
  <c r="J403" s="1"/>
  <c r="I404"/>
  <c r="J404" s="1"/>
  <c r="I405"/>
  <c r="J405" s="1"/>
  <c r="I342"/>
  <c r="J342" s="1"/>
  <c r="I279"/>
  <c r="J279" s="1"/>
  <c r="I280"/>
  <c r="J280" s="1"/>
  <c r="I281"/>
  <c r="J281" s="1"/>
  <c r="I282"/>
  <c r="J282" s="1"/>
  <c r="I283"/>
  <c r="J283" s="1"/>
  <c r="I284"/>
  <c r="J284" s="1"/>
  <c r="I285"/>
  <c r="J285" s="1"/>
  <c r="I286"/>
  <c r="J286" s="1"/>
  <c r="I287"/>
  <c r="J287" s="1"/>
  <c r="I288"/>
  <c r="J288" s="1"/>
  <c r="I289"/>
  <c r="J289" s="1"/>
  <c r="I290"/>
  <c r="J290" s="1"/>
  <c r="I291"/>
  <c r="J291" s="1"/>
  <c r="I292"/>
  <c r="J292" s="1"/>
  <c r="I293"/>
  <c r="J293" s="1"/>
  <c r="I294"/>
  <c r="J294" s="1"/>
  <c r="I295"/>
  <c r="J295" s="1"/>
  <c r="I296"/>
  <c r="J296" s="1"/>
  <c r="I297"/>
  <c r="J297" s="1"/>
  <c r="I298"/>
  <c r="J298" s="1"/>
  <c r="I299"/>
  <c r="J299" s="1"/>
  <c r="I300"/>
  <c r="J300" s="1"/>
  <c r="I301"/>
  <c r="J301" s="1"/>
  <c r="I302"/>
  <c r="J302" s="1"/>
  <c r="I303"/>
  <c r="J303" s="1"/>
  <c r="I304"/>
  <c r="J304" s="1"/>
  <c r="I305"/>
  <c r="J305" s="1"/>
  <c r="I306"/>
  <c r="J306" s="1"/>
  <c r="I307"/>
  <c r="J307" s="1"/>
  <c r="I308"/>
  <c r="J308" s="1"/>
  <c r="I309"/>
  <c r="J309" s="1"/>
  <c r="I310"/>
  <c r="J310" s="1"/>
  <c r="I311"/>
  <c r="J311" s="1"/>
  <c r="I312"/>
  <c r="J312" s="1"/>
  <c r="I313"/>
  <c r="J313" s="1"/>
  <c r="I314"/>
  <c r="J314" s="1"/>
  <c r="I315"/>
  <c r="J315" s="1"/>
  <c r="I316"/>
  <c r="J316" s="1"/>
  <c r="I317"/>
  <c r="J317" s="1"/>
  <c r="I318"/>
  <c r="J318" s="1"/>
  <c r="I319"/>
  <c r="J319" s="1"/>
  <c r="I320"/>
  <c r="J320" s="1"/>
  <c r="I321"/>
  <c r="J321" s="1"/>
  <c r="I322"/>
  <c r="J322" s="1"/>
  <c r="I323"/>
  <c r="J323" s="1"/>
  <c r="I324"/>
  <c r="J324" s="1"/>
  <c r="I325"/>
  <c r="J325" s="1"/>
  <c r="I326"/>
  <c r="J326" s="1"/>
  <c r="I327"/>
  <c r="J327" s="1"/>
  <c r="I328"/>
  <c r="J328" s="1"/>
  <c r="I329"/>
  <c r="J329" s="1"/>
  <c r="I330"/>
  <c r="J330" s="1"/>
  <c r="I331"/>
  <c r="J331" s="1"/>
  <c r="I332"/>
  <c r="J332" s="1"/>
  <c r="I333"/>
  <c r="J333" s="1"/>
  <c r="I334"/>
  <c r="J334" s="1"/>
  <c r="I335"/>
  <c r="J335" s="1"/>
  <c r="I336"/>
  <c r="J336" s="1"/>
  <c r="I337"/>
  <c r="J337" s="1"/>
  <c r="I338"/>
  <c r="J338" s="1"/>
  <c r="I339"/>
  <c r="J339" s="1"/>
  <c r="I340"/>
  <c r="J340" s="1"/>
  <c r="I341"/>
  <c r="J341" s="1"/>
  <c r="I278"/>
  <c r="J278" s="1"/>
  <c r="I215"/>
  <c r="J215" s="1"/>
  <c r="I216"/>
  <c r="J216" s="1"/>
  <c r="I217"/>
  <c r="J217" s="1"/>
  <c r="I218"/>
  <c r="J218" s="1"/>
  <c r="I219"/>
  <c r="J219" s="1"/>
  <c r="I220"/>
  <c r="J220" s="1"/>
  <c r="I221"/>
  <c r="J221" s="1"/>
  <c r="I222"/>
  <c r="J222" s="1"/>
  <c r="I223"/>
  <c r="J223" s="1"/>
  <c r="I224"/>
  <c r="J224" s="1"/>
  <c r="I225"/>
  <c r="J225" s="1"/>
  <c r="I226"/>
  <c r="J226" s="1"/>
  <c r="I227"/>
  <c r="J227" s="1"/>
  <c r="I228"/>
  <c r="J228" s="1"/>
  <c r="I229"/>
  <c r="J229" s="1"/>
  <c r="I230"/>
  <c r="J230" s="1"/>
  <c r="I231"/>
  <c r="J231" s="1"/>
  <c r="I232"/>
  <c r="J232" s="1"/>
  <c r="I233"/>
  <c r="J233" s="1"/>
  <c r="I234"/>
  <c r="J234" s="1"/>
  <c r="I235"/>
  <c r="J235" s="1"/>
  <c r="I236"/>
  <c r="J236" s="1"/>
  <c r="I237"/>
  <c r="J237" s="1"/>
  <c r="I238"/>
  <c r="J238" s="1"/>
  <c r="I239"/>
  <c r="J239" s="1"/>
  <c r="I240"/>
  <c r="J240" s="1"/>
  <c r="I241"/>
  <c r="J241" s="1"/>
  <c r="I242"/>
  <c r="J242" s="1"/>
  <c r="I243"/>
  <c r="J243" s="1"/>
  <c r="I244"/>
  <c r="J244" s="1"/>
  <c r="I245"/>
  <c r="J245" s="1"/>
  <c r="I246"/>
  <c r="J246" s="1"/>
  <c r="I247"/>
  <c r="J247" s="1"/>
  <c r="I248"/>
  <c r="J248" s="1"/>
  <c r="I249"/>
  <c r="J249" s="1"/>
  <c r="I250"/>
  <c r="J250" s="1"/>
  <c r="I251"/>
  <c r="J251" s="1"/>
  <c r="I252"/>
  <c r="J252" s="1"/>
  <c r="I253"/>
  <c r="J253" s="1"/>
  <c r="I254"/>
  <c r="J254" s="1"/>
  <c r="I255"/>
  <c r="J255" s="1"/>
  <c r="I256"/>
  <c r="J256" s="1"/>
  <c r="I257"/>
  <c r="J257" s="1"/>
  <c r="I258"/>
  <c r="J258" s="1"/>
  <c r="I259"/>
  <c r="J259" s="1"/>
  <c r="I260"/>
  <c r="J260" s="1"/>
  <c r="I261"/>
  <c r="J261" s="1"/>
  <c r="I262"/>
  <c r="J262" s="1"/>
  <c r="I263"/>
  <c r="J263" s="1"/>
  <c r="I264"/>
  <c r="J264" s="1"/>
  <c r="I265"/>
  <c r="J265" s="1"/>
  <c r="I266"/>
  <c r="J266" s="1"/>
  <c r="I267"/>
  <c r="J267" s="1"/>
  <c r="I268"/>
  <c r="J268" s="1"/>
  <c r="I269"/>
  <c r="J269" s="1"/>
  <c r="I270"/>
  <c r="J270" s="1"/>
  <c r="I271"/>
  <c r="J271" s="1"/>
  <c r="I272"/>
  <c r="J272" s="1"/>
  <c r="I273"/>
  <c r="J273" s="1"/>
  <c r="I274"/>
  <c r="J274" s="1"/>
  <c r="I275"/>
  <c r="J275" s="1"/>
  <c r="I276"/>
  <c r="J276" s="1"/>
  <c r="I277"/>
  <c r="J277" s="1"/>
  <c r="I214"/>
  <c r="J214" s="1"/>
  <c r="I87"/>
  <c r="J87" s="1"/>
  <c r="I88"/>
  <c r="J88" s="1"/>
  <c r="I89"/>
  <c r="J89" s="1"/>
  <c r="I90"/>
  <c r="J90" s="1"/>
  <c r="I91"/>
  <c r="J91" s="1"/>
  <c r="I92"/>
  <c r="J92" s="1"/>
  <c r="I93"/>
  <c r="J93" s="1"/>
  <c r="I94"/>
  <c r="J94" s="1"/>
  <c r="I95"/>
  <c r="J95" s="1"/>
  <c r="I96"/>
  <c r="J96" s="1"/>
  <c r="I97"/>
  <c r="J97" s="1"/>
  <c r="I98"/>
  <c r="J98" s="1"/>
  <c r="I99"/>
  <c r="J99" s="1"/>
  <c r="I100"/>
  <c r="J100" s="1"/>
  <c r="I101"/>
  <c r="J101" s="1"/>
  <c r="I102"/>
  <c r="J102" s="1"/>
  <c r="I103"/>
  <c r="J103" s="1"/>
  <c r="I104"/>
  <c r="J104" s="1"/>
  <c r="I105"/>
  <c r="J105" s="1"/>
  <c r="I106"/>
  <c r="J106" s="1"/>
  <c r="I107"/>
  <c r="J107" s="1"/>
  <c r="I108"/>
  <c r="J108" s="1"/>
  <c r="I109"/>
  <c r="J109" s="1"/>
  <c r="I110"/>
  <c r="J110" s="1"/>
  <c r="I111"/>
  <c r="J111" s="1"/>
  <c r="I112"/>
  <c r="J112" s="1"/>
  <c r="I113"/>
  <c r="J113" s="1"/>
  <c r="I114"/>
  <c r="J114" s="1"/>
  <c r="I115"/>
  <c r="J115" s="1"/>
  <c r="I116"/>
  <c r="J116" s="1"/>
  <c r="I117"/>
  <c r="J117" s="1"/>
  <c r="I118"/>
  <c r="J118" s="1"/>
  <c r="I119"/>
  <c r="J119" s="1"/>
  <c r="I120"/>
  <c r="J120" s="1"/>
  <c r="I121"/>
  <c r="J121" s="1"/>
  <c r="I122"/>
  <c r="J122" s="1"/>
  <c r="I123"/>
  <c r="J123" s="1"/>
  <c r="I124"/>
  <c r="J124" s="1"/>
  <c r="I125"/>
  <c r="J125" s="1"/>
  <c r="I126"/>
  <c r="J126" s="1"/>
  <c r="I127"/>
  <c r="J127" s="1"/>
  <c r="I128"/>
  <c r="J128" s="1"/>
  <c r="I129"/>
  <c r="J129" s="1"/>
  <c r="I130"/>
  <c r="J130" s="1"/>
  <c r="I131"/>
  <c r="J131" s="1"/>
  <c r="I132"/>
  <c r="J132" s="1"/>
  <c r="I133"/>
  <c r="J133" s="1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 s="1"/>
  <c r="I145"/>
  <c r="J145" s="1"/>
  <c r="I146"/>
  <c r="J146" s="1"/>
  <c r="I147"/>
  <c r="J147" s="1"/>
  <c r="I148"/>
  <c r="J148" s="1"/>
  <c r="I149"/>
  <c r="J149" s="1"/>
  <c r="I86"/>
  <c r="J86" s="1"/>
  <c r="H184" i="5"/>
  <c r="I184" s="1"/>
  <c r="H185"/>
  <c r="I185" s="1"/>
  <c r="H186"/>
  <c r="I186" s="1"/>
  <c r="H187"/>
  <c r="I187" s="1"/>
  <c r="H188"/>
  <c r="I188" s="1"/>
  <c r="H189"/>
  <c r="I189" s="1"/>
  <c r="H190"/>
  <c r="I190" s="1"/>
  <c r="H191"/>
  <c r="I191" s="1"/>
  <c r="H192"/>
  <c r="I192" s="1"/>
  <c r="H193"/>
  <c r="I193" s="1"/>
  <c r="H194"/>
  <c r="I194" s="1"/>
  <c r="H195"/>
  <c r="I195" s="1"/>
  <c r="H196"/>
  <c r="I196" s="1"/>
  <c r="H197"/>
  <c r="I197" s="1"/>
  <c r="H198"/>
  <c r="I198" s="1"/>
  <c r="H199"/>
  <c r="I199" s="1"/>
  <c r="H200"/>
  <c r="I200" s="1"/>
  <c r="H201"/>
  <c r="I201" s="1"/>
  <c r="H202"/>
  <c r="I202" s="1"/>
  <c r="H203"/>
  <c r="I203" s="1"/>
  <c r="H204"/>
  <c r="I204" s="1"/>
  <c r="H205"/>
  <c r="I205" s="1"/>
  <c r="H206"/>
  <c r="I206" s="1"/>
  <c r="H207"/>
  <c r="I207" s="1"/>
  <c r="H208"/>
  <c r="I208" s="1"/>
  <c r="H209"/>
  <c r="I209" s="1"/>
  <c r="H210"/>
  <c r="I210" s="1"/>
  <c r="H211"/>
  <c r="I211" s="1"/>
  <c r="H212"/>
  <c r="I212" s="1"/>
  <c r="H213"/>
  <c r="I213" s="1"/>
  <c r="H214"/>
  <c r="I214" s="1"/>
  <c r="H183"/>
  <c r="I183" s="1"/>
  <c r="H152"/>
  <c r="I152" s="1"/>
  <c r="H153"/>
  <c r="I153" s="1"/>
  <c r="H154"/>
  <c r="I154" s="1"/>
  <c r="H155"/>
  <c r="I155" s="1"/>
  <c r="H156"/>
  <c r="I156" s="1"/>
  <c r="H157"/>
  <c r="I157" s="1"/>
  <c r="H158"/>
  <c r="I158" s="1"/>
  <c r="H159"/>
  <c r="I159" s="1"/>
  <c r="H160"/>
  <c r="I160" s="1"/>
  <c r="H161"/>
  <c r="I161" s="1"/>
  <c r="H162"/>
  <c r="I162" s="1"/>
  <c r="H163"/>
  <c r="I163" s="1"/>
  <c r="H164"/>
  <c r="I164" s="1"/>
  <c r="H165"/>
  <c r="I165" s="1"/>
  <c r="H166"/>
  <c r="I166" s="1"/>
  <c r="H167"/>
  <c r="I167" s="1"/>
  <c r="H168"/>
  <c r="I168" s="1"/>
  <c r="H169"/>
  <c r="I169" s="1"/>
  <c r="H170"/>
  <c r="I170" s="1"/>
  <c r="H171"/>
  <c r="I171" s="1"/>
  <c r="H172"/>
  <c r="I172" s="1"/>
  <c r="H173"/>
  <c r="I173" s="1"/>
  <c r="H174"/>
  <c r="I174" s="1"/>
  <c r="H175"/>
  <c r="I175" s="1"/>
  <c r="H176"/>
  <c r="I176" s="1"/>
  <c r="H177"/>
  <c r="I177" s="1"/>
  <c r="H178"/>
  <c r="I178" s="1"/>
  <c r="H179"/>
  <c r="I179" s="1"/>
  <c r="H180"/>
  <c r="I180" s="1"/>
  <c r="H181"/>
  <c r="I181" s="1"/>
  <c r="H182"/>
  <c r="I182" s="1"/>
  <c r="H151"/>
  <c r="I151" s="1"/>
  <c r="H120"/>
  <c r="I120" s="1"/>
  <c r="H122"/>
  <c r="I122" s="1"/>
  <c r="H124"/>
  <c r="I124" s="1"/>
  <c r="H126"/>
  <c r="I126" s="1"/>
  <c r="H128"/>
  <c r="I128" s="1"/>
  <c r="H130"/>
  <c r="I130" s="1"/>
  <c r="H132"/>
  <c r="I132" s="1"/>
  <c r="H134"/>
  <c r="I134" s="1"/>
  <c r="H136"/>
  <c r="I136" s="1"/>
  <c r="H138"/>
  <c r="I138" s="1"/>
  <c r="H140"/>
  <c r="I140" s="1"/>
  <c r="H142"/>
  <c r="I142" s="1"/>
  <c r="H144"/>
  <c r="I144" s="1"/>
  <c r="H146"/>
  <c r="I146" s="1"/>
  <c r="H148"/>
  <c r="I148" s="1"/>
  <c r="H150"/>
  <c r="I150" s="1"/>
  <c r="H56"/>
  <c r="I56" s="1"/>
  <c r="H57"/>
  <c r="I57" s="1"/>
  <c r="H58"/>
  <c r="I58" s="1"/>
  <c r="H59"/>
  <c r="I59" s="1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H70"/>
  <c r="I70" s="1"/>
  <c r="H71"/>
  <c r="I71" s="1"/>
  <c r="H72"/>
  <c r="I72" s="1"/>
  <c r="H73"/>
  <c r="I73" s="1"/>
  <c r="H74"/>
  <c r="I74" s="1"/>
  <c r="H75"/>
  <c r="I75" s="1"/>
  <c r="H76"/>
  <c r="I76" s="1"/>
  <c r="H77"/>
  <c r="I77" s="1"/>
  <c r="H78"/>
  <c r="I78" s="1"/>
  <c r="H79"/>
  <c r="I79" s="1"/>
  <c r="H80"/>
  <c r="I80" s="1"/>
  <c r="H81"/>
  <c r="I81" s="1"/>
  <c r="H82"/>
  <c r="I82" s="1"/>
  <c r="H83"/>
  <c r="I83" s="1"/>
  <c r="H84"/>
  <c r="I84" s="1"/>
  <c r="H85"/>
  <c r="I85" s="1"/>
  <c r="H86"/>
  <c r="I86" s="1"/>
  <c r="H55"/>
  <c r="I55" s="1"/>
  <c r="G105" i="4"/>
  <c r="H105" s="1"/>
  <c r="G106"/>
  <c r="H106" s="1"/>
  <c r="G107"/>
  <c r="H107" s="1"/>
  <c r="G108"/>
  <c r="H108" s="1"/>
  <c r="G109"/>
  <c r="H109" s="1"/>
  <c r="G110"/>
  <c r="H110" s="1"/>
  <c r="G111"/>
  <c r="H111" s="1"/>
  <c r="G112"/>
  <c r="H112" s="1"/>
  <c r="G113"/>
  <c r="H113" s="1"/>
  <c r="G114"/>
  <c r="H114" s="1"/>
  <c r="G115"/>
  <c r="H115" s="1"/>
  <c r="G116"/>
  <c r="H116" s="1"/>
  <c r="G117"/>
  <c r="H117" s="1"/>
  <c r="G118"/>
  <c r="H118" s="1"/>
  <c r="G119"/>
  <c r="H119" s="1"/>
  <c r="G104"/>
  <c r="H104" s="1"/>
  <c r="G89"/>
  <c r="H89" s="1"/>
  <c r="G90"/>
  <c r="H90" s="1"/>
  <c r="G91"/>
  <c r="H91" s="1"/>
  <c r="G92"/>
  <c r="H92" s="1"/>
  <c r="G93"/>
  <c r="H93" s="1"/>
  <c r="G94"/>
  <c r="H94" s="1"/>
  <c r="G95"/>
  <c r="H95" s="1"/>
  <c r="G96"/>
  <c r="H96" s="1"/>
  <c r="G97"/>
  <c r="H97" s="1"/>
  <c r="G98"/>
  <c r="H98" s="1"/>
  <c r="G99"/>
  <c r="H99" s="1"/>
  <c r="G100"/>
  <c r="H100" s="1"/>
  <c r="G101"/>
  <c r="H101" s="1"/>
  <c r="G102"/>
  <c r="H102" s="1"/>
  <c r="G103"/>
  <c r="H103" s="1"/>
  <c r="G88"/>
  <c r="H88" s="1"/>
  <c r="G73"/>
  <c r="H73" s="1"/>
  <c r="G74"/>
  <c r="H74" s="1"/>
  <c r="G75"/>
  <c r="H75" s="1"/>
  <c r="G76"/>
  <c r="H76" s="1"/>
  <c r="G77"/>
  <c r="H77" s="1"/>
  <c r="G78"/>
  <c r="H78" s="1"/>
  <c r="G79"/>
  <c r="H79" s="1"/>
  <c r="G80"/>
  <c r="H80" s="1"/>
  <c r="G81"/>
  <c r="H81" s="1"/>
  <c r="G82"/>
  <c r="H82" s="1"/>
  <c r="G83"/>
  <c r="H83" s="1"/>
  <c r="G84"/>
  <c r="H84" s="1"/>
  <c r="G85"/>
  <c r="H85" s="1"/>
  <c r="G86"/>
  <c r="H86" s="1"/>
  <c r="G87"/>
  <c r="H87" s="1"/>
  <c r="G72"/>
  <c r="H72" s="1"/>
  <c r="G57"/>
  <c r="H57" s="1"/>
  <c r="G58"/>
  <c r="H58" s="1"/>
  <c r="G59"/>
  <c r="H59" s="1"/>
  <c r="G60"/>
  <c r="H60" s="1"/>
  <c r="G61"/>
  <c r="H61" s="1"/>
  <c r="G62"/>
  <c r="H62" s="1"/>
  <c r="G63"/>
  <c r="H63" s="1"/>
  <c r="G64"/>
  <c r="H64" s="1"/>
  <c r="G65"/>
  <c r="H65" s="1"/>
  <c r="G66"/>
  <c r="H66" s="1"/>
  <c r="G67"/>
  <c r="H67" s="1"/>
  <c r="G68"/>
  <c r="H68" s="1"/>
  <c r="G69"/>
  <c r="H69" s="1"/>
  <c r="G70"/>
  <c r="H70" s="1"/>
  <c r="G71"/>
  <c r="H71" s="1"/>
  <c r="G56"/>
  <c r="H56" s="1"/>
  <c r="G41"/>
  <c r="H41" s="1"/>
  <c r="G42"/>
  <c r="H42" s="1"/>
  <c r="G43"/>
  <c r="H43" s="1"/>
  <c r="G44"/>
  <c r="H44" s="1"/>
  <c r="G45"/>
  <c r="H45" s="1"/>
  <c r="G46"/>
  <c r="H46" s="1"/>
  <c r="G47"/>
  <c r="H47" s="1"/>
  <c r="G48"/>
  <c r="H48" s="1"/>
  <c r="G49"/>
  <c r="H49" s="1"/>
  <c r="G50"/>
  <c r="H50" s="1"/>
  <c r="G51"/>
  <c r="H51" s="1"/>
  <c r="G52"/>
  <c r="H52" s="1"/>
  <c r="G53"/>
  <c r="H53" s="1"/>
  <c r="G54"/>
  <c r="H54" s="1"/>
  <c r="G55"/>
  <c r="H55" s="1"/>
  <c r="G40"/>
  <c r="H40" s="1"/>
  <c r="F61" i="3"/>
  <c r="G61" s="1"/>
  <c r="F62"/>
  <c r="G62" s="1"/>
  <c r="F63"/>
  <c r="G63" s="1"/>
  <c r="F64"/>
  <c r="G64" s="1"/>
  <c r="F65"/>
  <c r="G65" s="1"/>
  <c r="F66"/>
  <c r="G66" s="1"/>
  <c r="F67"/>
  <c r="G67" s="1"/>
  <c r="F60"/>
  <c r="G60" s="1"/>
  <c r="F53"/>
  <c r="G53" s="1"/>
  <c r="F54"/>
  <c r="G54" s="1"/>
  <c r="F55"/>
  <c r="G55" s="1"/>
  <c r="F56"/>
  <c r="G56" s="1"/>
  <c r="F57"/>
  <c r="G57" s="1"/>
  <c r="F58"/>
  <c r="G58" s="1"/>
  <c r="F59"/>
  <c r="G59" s="1"/>
  <c r="F52"/>
  <c r="G52" s="1"/>
  <c r="F29"/>
  <c r="G29" s="1"/>
  <c r="F30"/>
  <c r="G30" s="1"/>
  <c r="F31"/>
  <c r="G31" s="1"/>
  <c r="F32"/>
  <c r="G32" s="1"/>
  <c r="F33"/>
  <c r="G33" s="1"/>
  <c r="F34"/>
  <c r="G34" s="1"/>
  <c r="F35"/>
  <c r="G35" s="1"/>
  <c r="F28"/>
  <c r="G28" s="1"/>
  <c r="E39" i="2"/>
  <c r="F39" s="1"/>
  <c r="E40"/>
  <c r="F40" s="1"/>
  <c r="E41"/>
  <c r="F41" s="1"/>
  <c r="E38"/>
  <c r="F38" s="1"/>
  <c r="E27"/>
  <c r="F27" s="1"/>
  <c r="E28"/>
  <c r="F28" s="1"/>
  <c r="E29"/>
  <c r="F29" s="1"/>
  <c r="E26"/>
  <c r="F26" s="1"/>
  <c r="E23"/>
  <c r="F23" s="1"/>
  <c r="E24"/>
  <c r="F24" s="1"/>
  <c r="E25"/>
  <c r="F25" s="1"/>
  <c r="E22"/>
  <c r="F22" s="1"/>
  <c r="G78" i="6"/>
  <c r="G76"/>
  <c r="G74"/>
  <c r="G72"/>
  <c r="G70"/>
  <c r="G68"/>
  <c r="G66"/>
  <c r="G64"/>
  <c r="G62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77"/>
  <c r="G75"/>
  <c r="G73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F78"/>
  <c r="F77"/>
  <c r="F74"/>
  <c r="F73"/>
  <c r="F70"/>
  <c r="F69"/>
  <c r="F66"/>
  <c r="F65"/>
  <c r="F62"/>
  <c r="F61"/>
  <c r="F58"/>
  <c r="F57"/>
  <c r="F54"/>
  <c r="F53"/>
  <c r="F50"/>
  <c r="F49"/>
  <c r="F46"/>
  <c r="F45"/>
  <c r="F42"/>
  <c r="F41"/>
  <c r="F38"/>
  <c r="F37"/>
  <c r="F34"/>
  <c r="F33"/>
  <c r="F30"/>
  <c r="F29"/>
  <c r="F26"/>
  <c r="F25"/>
  <c r="F22"/>
  <c r="F21"/>
  <c r="F18"/>
  <c r="F17"/>
  <c r="F76"/>
  <c r="F75"/>
  <c r="F72"/>
  <c r="F71"/>
  <c r="F68"/>
  <c r="F67"/>
  <c r="F64"/>
  <c r="F63"/>
  <c r="F60"/>
  <c r="F59"/>
  <c r="F56"/>
  <c r="F55"/>
  <c r="F52"/>
  <c r="F51"/>
  <c r="F48"/>
  <c r="F47"/>
  <c r="F44"/>
  <c r="F43"/>
  <c r="F40"/>
  <c r="F39"/>
  <c r="F36"/>
  <c r="F35"/>
  <c r="F32"/>
  <c r="F31"/>
  <c r="F28"/>
  <c r="F27"/>
  <c r="F24"/>
  <c r="F23"/>
  <c r="F20"/>
  <c r="F19"/>
  <c r="F16"/>
  <c r="F15"/>
  <c r="E78"/>
  <c r="E77"/>
  <c r="E76"/>
  <c r="E75"/>
  <c r="E70"/>
  <c r="E69"/>
  <c r="E68"/>
  <c r="E67"/>
  <c r="E62"/>
  <c r="E61"/>
  <c r="E60"/>
  <c r="E59"/>
  <c r="E54"/>
  <c r="E53"/>
  <c r="E52"/>
  <c r="E51"/>
  <c r="E46"/>
  <c r="E45"/>
  <c r="E44"/>
  <c r="E43"/>
  <c r="E38"/>
  <c r="E37"/>
  <c r="E36"/>
  <c r="E35"/>
  <c r="E30"/>
  <c r="E29"/>
  <c r="E28"/>
  <c r="E27"/>
  <c r="E20"/>
  <c r="E21"/>
  <c r="E22"/>
  <c r="E19"/>
  <c r="E74"/>
  <c r="E73"/>
  <c r="E72"/>
  <c r="E71"/>
  <c r="E66"/>
  <c r="E65"/>
  <c r="E64"/>
  <c r="E63"/>
  <c r="E58"/>
  <c r="E57"/>
  <c r="E56"/>
  <c r="E55"/>
  <c r="E50"/>
  <c r="E49"/>
  <c r="E48"/>
  <c r="E47"/>
  <c r="E42"/>
  <c r="E41"/>
  <c r="E40"/>
  <c r="E39"/>
  <c r="E34"/>
  <c r="E33"/>
  <c r="E32"/>
  <c r="E31"/>
  <c r="E26"/>
  <c r="E25"/>
  <c r="E24"/>
  <c r="E23"/>
  <c r="E16"/>
  <c r="E17"/>
  <c r="E18"/>
  <c r="E15"/>
  <c r="D78"/>
  <c r="D77"/>
  <c r="D76"/>
  <c r="D75"/>
  <c r="D74"/>
  <c r="D73"/>
  <c r="D72"/>
  <c r="D71"/>
  <c r="D62"/>
  <c r="D61"/>
  <c r="D60"/>
  <c r="D59"/>
  <c r="D58"/>
  <c r="D57"/>
  <c r="D56"/>
  <c r="D55"/>
  <c r="D46"/>
  <c r="D45"/>
  <c r="D44"/>
  <c r="D43"/>
  <c r="D42"/>
  <c r="D41"/>
  <c r="D40"/>
  <c r="D39"/>
  <c r="D24"/>
  <c r="D25"/>
  <c r="D26"/>
  <c r="D27"/>
  <c r="D28"/>
  <c r="D29"/>
  <c r="D30"/>
  <c r="D23"/>
  <c r="D70"/>
  <c r="D69"/>
  <c r="D68"/>
  <c r="D67"/>
  <c r="D66"/>
  <c r="D65"/>
  <c r="D64"/>
  <c r="D63"/>
  <c r="D54"/>
  <c r="D53"/>
  <c r="D52"/>
  <c r="D51"/>
  <c r="D50"/>
  <c r="D49"/>
  <c r="D48"/>
  <c r="D47"/>
  <c r="D38"/>
  <c r="D37"/>
  <c r="D36"/>
  <c r="D35"/>
  <c r="D34"/>
  <c r="D33"/>
  <c r="D32"/>
  <c r="D31"/>
  <c r="D16"/>
  <c r="D17"/>
  <c r="D18"/>
  <c r="D19"/>
  <c r="D20"/>
  <c r="D21"/>
  <c r="D22"/>
  <c r="D15"/>
  <c r="C78"/>
  <c r="C77"/>
  <c r="C76"/>
  <c r="C75"/>
  <c r="C74"/>
  <c r="C73"/>
  <c r="C72"/>
  <c r="C71"/>
  <c r="C70"/>
  <c r="C69"/>
  <c r="C68"/>
  <c r="C67"/>
  <c r="C66"/>
  <c r="C65"/>
  <c r="C64"/>
  <c r="C63"/>
  <c r="C32"/>
  <c r="C33"/>
  <c r="C34"/>
  <c r="C35"/>
  <c r="C36"/>
  <c r="C37"/>
  <c r="C38"/>
  <c r="C39"/>
  <c r="C40"/>
  <c r="C41"/>
  <c r="C42"/>
  <c r="C43"/>
  <c r="C44"/>
  <c r="C45"/>
  <c r="C46"/>
  <c r="C31"/>
  <c r="C62"/>
  <c r="C61"/>
  <c r="C60"/>
  <c r="C59"/>
  <c r="C58"/>
  <c r="C57"/>
  <c r="C56"/>
  <c r="C55"/>
  <c r="C54"/>
  <c r="C53"/>
  <c r="C52"/>
  <c r="C51"/>
  <c r="C50"/>
  <c r="C49"/>
  <c r="C48"/>
  <c r="C47"/>
  <c r="C16"/>
  <c r="C17"/>
  <c r="C18"/>
  <c r="C19"/>
  <c r="C20"/>
  <c r="C21"/>
  <c r="C22"/>
  <c r="C23"/>
  <c r="C24"/>
  <c r="C25"/>
  <c r="C26"/>
  <c r="C27"/>
  <c r="C28"/>
  <c r="C29"/>
  <c r="C30"/>
  <c r="C15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47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15"/>
  <c r="G14"/>
  <c r="F14"/>
  <c r="E14"/>
  <c r="D14"/>
  <c r="C14"/>
  <c r="B14"/>
  <c r="F45" i="5"/>
  <c r="F43"/>
  <c r="F41"/>
  <c r="F39"/>
  <c r="F37"/>
  <c r="F35"/>
  <c r="F33"/>
  <c r="F31"/>
  <c r="F29"/>
  <c r="F27"/>
  <c r="F25"/>
  <c r="F23"/>
  <c r="F21"/>
  <c r="F19"/>
  <c r="F17"/>
  <c r="F15"/>
  <c r="F44"/>
  <c r="F42"/>
  <c r="F40"/>
  <c r="F38"/>
  <c r="F36"/>
  <c r="F34"/>
  <c r="F32"/>
  <c r="F30"/>
  <c r="F28"/>
  <c r="F26"/>
  <c r="F24"/>
  <c r="F22"/>
  <c r="F20"/>
  <c r="F18"/>
  <c r="F16"/>
  <c r="F14"/>
  <c r="E45"/>
  <c r="E44"/>
  <c r="E41"/>
  <c r="E40"/>
  <c r="E37"/>
  <c r="E36"/>
  <c r="E33"/>
  <c r="E32"/>
  <c r="E29"/>
  <c r="E28"/>
  <c r="E25"/>
  <c r="E24"/>
  <c r="E21"/>
  <c r="E20"/>
  <c r="E17"/>
  <c r="E16"/>
  <c r="E43"/>
  <c r="E42"/>
  <c r="E39"/>
  <c r="E38"/>
  <c r="E35"/>
  <c r="E34"/>
  <c r="E31"/>
  <c r="E30"/>
  <c r="E27"/>
  <c r="E26"/>
  <c r="E23"/>
  <c r="E22"/>
  <c r="E19"/>
  <c r="E18"/>
  <c r="E15"/>
  <c r="E14"/>
  <c r="D45"/>
  <c r="D44"/>
  <c r="D43"/>
  <c r="D42"/>
  <c r="D37"/>
  <c r="D36"/>
  <c r="D35"/>
  <c r="D34"/>
  <c r="D29"/>
  <c r="D28"/>
  <c r="D27"/>
  <c r="D26"/>
  <c r="D21"/>
  <c r="D20"/>
  <c r="D19"/>
  <c r="D18"/>
  <c r="D41"/>
  <c r="D40"/>
  <c r="D39"/>
  <c r="D38"/>
  <c r="D33"/>
  <c r="D32"/>
  <c r="D31"/>
  <c r="D30"/>
  <c r="D25"/>
  <c r="D24"/>
  <c r="D23"/>
  <c r="D22"/>
  <c r="D17"/>
  <c r="D16"/>
  <c r="D15"/>
  <c r="D14"/>
  <c r="C45"/>
  <c r="C44"/>
  <c r="C43"/>
  <c r="C42"/>
  <c r="C41"/>
  <c r="C40"/>
  <c r="C39"/>
  <c r="C38"/>
  <c r="C29"/>
  <c r="C28"/>
  <c r="C27"/>
  <c r="C26"/>
  <c r="C25"/>
  <c r="C24"/>
  <c r="C23"/>
  <c r="C22"/>
  <c r="C37"/>
  <c r="C36"/>
  <c r="C35"/>
  <c r="C34"/>
  <c r="C33"/>
  <c r="C32"/>
  <c r="C31"/>
  <c r="C30"/>
  <c r="C17"/>
  <c r="C18"/>
  <c r="C19"/>
  <c r="C20"/>
  <c r="C21"/>
  <c r="C16"/>
  <c r="C15"/>
  <c r="C14"/>
  <c r="B31"/>
  <c r="B32"/>
  <c r="B33"/>
  <c r="B34"/>
  <c r="B35"/>
  <c r="B36"/>
  <c r="B37"/>
  <c r="B38"/>
  <c r="B39"/>
  <c r="B40"/>
  <c r="B41"/>
  <c r="B42"/>
  <c r="B43"/>
  <c r="B44"/>
  <c r="B45"/>
  <c r="B30"/>
  <c r="B15"/>
  <c r="B16"/>
  <c r="B17"/>
  <c r="B18"/>
  <c r="B19"/>
  <c r="B20"/>
  <c r="B21"/>
  <c r="B22"/>
  <c r="B23"/>
  <c r="B24"/>
  <c r="B25"/>
  <c r="B26"/>
  <c r="B27"/>
  <c r="B28"/>
  <c r="B29"/>
  <c r="B14"/>
  <c r="F13"/>
  <c r="E13"/>
  <c r="D13"/>
  <c r="C13"/>
  <c r="B13"/>
  <c r="E12" i="4"/>
  <c r="D12"/>
  <c r="C12"/>
  <c r="B12"/>
  <c r="D11" i="3"/>
  <c r="C11"/>
  <c r="B11"/>
  <c r="C10" i="2"/>
  <c r="B10"/>
  <c r="J22" i="7"/>
  <c r="AA25"/>
  <c r="AA27"/>
  <c r="Z25"/>
  <c r="Z27"/>
  <c r="Y25"/>
  <c r="Y27"/>
  <c r="X25"/>
  <c r="X27"/>
  <c r="W25"/>
  <c r="W27" s="1"/>
  <c r="V25"/>
  <c r="V27" s="1"/>
  <c r="U25"/>
  <c r="U27" s="1"/>
  <c r="T25"/>
  <c r="T27" s="1"/>
  <c r="S25"/>
  <c r="S27" s="1"/>
  <c r="R25"/>
  <c r="R27" s="1"/>
  <c r="Q25"/>
  <c r="Q27" s="1"/>
  <c r="P25"/>
  <c r="P27" s="1"/>
  <c r="O25"/>
  <c r="O27" s="1"/>
  <c r="N25"/>
  <c r="N27" s="1"/>
  <c r="M25"/>
  <c r="M27" s="1"/>
  <c r="L25"/>
  <c r="L27" s="1"/>
  <c r="K25"/>
  <c r="K27" s="1"/>
  <c r="J25"/>
  <c r="J27" s="1"/>
  <c r="I25"/>
  <c r="I27" s="1"/>
  <c r="B20"/>
  <c r="J21"/>
  <c r="B19" s="1"/>
  <c r="M12" i="2"/>
  <c r="F14" i="4"/>
  <c r="F15"/>
  <c r="F16"/>
  <c r="F17"/>
  <c r="F18"/>
  <c r="F19"/>
  <c r="F20"/>
  <c r="F21"/>
  <c r="F22"/>
  <c r="F23"/>
  <c r="F24"/>
  <c r="F25"/>
  <c r="F26"/>
  <c r="F27"/>
  <c r="F28"/>
  <c r="F13"/>
  <c r="T42" s="1"/>
  <c r="C14" i="2"/>
  <c r="C13"/>
  <c r="C12"/>
  <c r="C11"/>
  <c r="B14"/>
  <c r="B13"/>
  <c r="B12"/>
  <c r="B11"/>
  <c r="D16"/>
  <c r="C16"/>
  <c r="K23"/>
  <c r="K22"/>
  <c r="M21"/>
  <c r="L21"/>
  <c r="M20"/>
  <c r="L20"/>
  <c r="P13"/>
  <c r="O13"/>
  <c r="P12"/>
  <c r="O12"/>
  <c r="M13"/>
  <c r="L13"/>
  <c r="L12"/>
  <c r="E21" i="3"/>
  <c r="D21"/>
  <c r="C21"/>
  <c r="D13"/>
  <c r="D19"/>
  <c r="D17"/>
  <c r="D15"/>
  <c r="D12"/>
  <c r="D18"/>
  <c r="D16"/>
  <c r="D14"/>
  <c r="C12"/>
  <c r="C17"/>
  <c r="C16"/>
  <c r="C13"/>
  <c r="C19"/>
  <c r="C18"/>
  <c r="C15"/>
  <c r="C14"/>
  <c r="B19"/>
  <c r="B18"/>
  <c r="B17"/>
  <c r="B16"/>
  <c r="B12"/>
  <c r="B15"/>
  <c r="B14"/>
  <c r="B13"/>
  <c r="M32"/>
  <c r="M31"/>
  <c r="L32"/>
  <c r="L31"/>
  <c r="O29"/>
  <c r="N29"/>
  <c r="O30"/>
  <c r="N30"/>
  <c r="M24"/>
  <c r="M23"/>
  <c r="L24"/>
  <c r="L23"/>
  <c r="M21"/>
  <c r="M20"/>
  <c r="L21"/>
  <c r="L20"/>
  <c r="O19"/>
  <c r="N19"/>
  <c r="O18"/>
  <c r="N18"/>
  <c r="T14"/>
  <c r="S14"/>
  <c r="T13"/>
  <c r="S13"/>
  <c r="Q14"/>
  <c r="P14"/>
  <c r="Q13"/>
  <c r="P13"/>
  <c r="N14"/>
  <c r="M14"/>
  <c r="N13"/>
  <c r="M13"/>
  <c r="F32" i="4"/>
  <c r="E32"/>
  <c r="D32"/>
  <c r="C32"/>
  <c r="C28"/>
  <c r="C27"/>
  <c r="C26"/>
  <c r="C25"/>
  <c r="C20"/>
  <c r="C19"/>
  <c r="C18"/>
  <c r="C17"/>
  <c r="C13"/>
  <c r="C24"/>
  <c r="C23"/>
  <c r="C22"/>
  <c r="C21"/>
  <c r="C16"/>
  <c r="C15"/>
  <c r="C14"/>
  <c r="D13"/>
  <c r="D28"/>
  <c r="D27"/>
  <c r="D26"/>
  <c r="D25"/>
  <c r="D24"/>
  <c r="D23"/>
  <c r="D22"/>
  <c r="D21"/>
  <c r="D20"/>
  <c r="D19"/>
  <c r="D18"/>
  <c r="D17"/>
  <c r="D16"/>
  <c r="D15"/>
  <c r="D14"/>
  <c r="E13"/>
  <c r="E27"/>
  <c r="E25"/>
  <c r="E23"/>
  <c r="E21"/>
  <c r="E19"/>
  <c r="E17"/>
  <c r="E15"/>
  <c r="E28"/>
  <c r="E26"/>
  <c r="E24"/>
  <c r="E22"/>
  <c r="E20"/>
  <c r="E18"/>
  <c r="E16"/>
  <c r="E14"/>
  <c r="B21"/>
  <c r="B28"/>
  <c r="B27"/>
  <c r="B26"/>
  <c r="B25"/>
  <c r="B24"/>
  <c r="B23"/>
  <c r="B22"/>
  <c r="B17"/>
  <c r="B20"/>
  <c r="B19"/>
  <c r="B18"/>
  <c r="B13"/>
  <c r="B16"/>
  <c r="B15"/>
  <c r="B14"/>
  <c r="R53"/>
  <c r="Q53"/>
  <c r="R52"/>
  <c r="Q52"/>
  <c r="P53"/>
  <c r="P52"/>
  <c r="O53"/>
  <c r="O52"/>
  <c r="R51"/>
  <c r="Q51"/>
  <c r="R50"/>
  <c r="Q50"/>
  <c r="U43"/>
  <c r="U42"/>
  <c r="U40"/>
  <c r="U39"/>
  <c r="T39"/>
  <c r="T37"/>
  <c r="U37"/>
  <c r="U38"/>
  <c r="T38"/>
  <c r="S40"/>
  <c r="S39"/>
  <c r="R39"/>
  <c r="R40"/>
  <c r="S43"/>
  <c r="S42"/>
  <c r="R43"/>
  <c r="R42"/>
  <c r="P38"/>
  <c r="O38"/>
  <c r="P37"/>
  <c r="O37"/>
  <c r="N34"/>
  <c r="N33"/>
  <c r="M34"/>
  <c r="M33"/>
  <c r="P32"/>
  <c r="O32"/>
  <c r="P31"/>
  <c r="O31"/>
  <c r="P28"/>
  <c r="P27"/>
  <c r="P25"/>
  <c r="P24"/>
  <c r="O24"/>
  <c r="N28"/>
  <c r="N27"/>
  <c r="M28"/>
  <c r="M27"/>
  <c r="M25"/>
  <c r="N25"/>
  <c r="N24"/>
  <c r="M24"/>
  <c r="N22"/>
  <c r="N21"/>
  <c r="M22"/>
  <c r="M21"/>
  <c r="P19"/>
  <c r="O19"/>
  <c r="P20"/>
  <c r="O20"/>
  <c r="P22"/>
  <c r="O22"/>
  <c r="P21"/>
  <c r="X15"/>
  <c r="W15"/>
  <c r="X14"/>
  <c r="W14"/>
  <c r="U15"/>
  <c r="T15"/>
  <c r="R15"/>
  <c r="Q15"/>
  <c r="O15"/>
  <c r="N15"/>
  <c r="U14"/>
  <c r="T14"/>
  <c r="R14"/>
  <c r="Q14"/>
  <c r="O14"/>
  <c r="N14"/>
  <c r="O67" i="5"/>
  <c r="O66"/>
  <c r="N67"/>
  <c r="N66"/>
  <c r="Q65"/>
  <c r="P65"/>
  <c r="Q64"/>
  <c r="P64"/>
  <c r="O54"/>
  <c r="O53"/>
  <c r="N54"/>
  <c r="N53"/>
  <c r="O51"/>
  <c r="O50"/>
  <c r="N51"/>
  <c r="N50"/>
  <c r="Q49"/>
  <c r="P49"/>
  <c r="Q48"/>
  <c r="P48"/>
  <c r="O45"/>
  <c r="O44"/>
  <c r="N45"/>
  <c r="N44"/>
  <c r="O42"/>
  <c r="O41"/>
  <c r="N42"/>
  <c r="N41"/>
  <c r="O39"/>
  <c r="O38"/>
  <c r="N39"/>
  <c r="N38"/>
  <c r="Q37"/>
  <c r="P37"/>
  <c r="Q36"/>
  <c r="P36"/>
  <c r="O33"/>
  <c r="O32"/>
  <c r="N33"/>
  <c r="N32"/>
  <c r="O30"/>
  <c r="O29"/>
  <c r="N30"/>
  <c r="N29"/>
  <c r="O27"/>
  <c r="O26"/>
  <c r="N27"/>
  <c r="N26"/>
  <c r="O24"/>
  <c r="O23"/>
  <c r="N24"/>
  <c r="N23"/>
  <c r="Q22"/>
  <c r="P22"/>
  <c r="Q21"/>
  <c r="P21"/>
  <c r="AC7"/>
  <c r="AB7"/>
  <c r="AC6"/>
  <c r="AB6"/>
  <c r="Z7"/>
  <c r="Y7"/>
  <c r="Z6"/>
  <c r="Y6"/>
  <c r="W7"/>
  <c r="V7"/>
  <c r="W6"/>
  <c r="V6"/>
  <c r="T7"/>
  <c r="S7"/>
  <c r="T6"/>
  <c r="S6"/>
  <c r="Q7"/>
  <c r="P7"/>
  <c r="Q6"/>
  <c r="P6"/>
  <c r="O93" i="6"/>
  <c r="O92"/>
  <c r="P93"/>
  <c r="P92"/>
  <c r="R91"/>
  <c r="Q91"/>
  <c r="R90"/>
  <c r="Q90"/>
  <c r="O81"/>
  <c r="O80"/>
  <c r="P81"/>
  <c r="P80"/>
  <c r="O66"/>
  <c r="O65"/>
  <c r="P66"/>
  <c r="P65"/>
  <c r="P62"/>
  <c r="O62"/>
  <c r="O63"/>
  <c r="P63"/>
  <c r="R58"/>
  <c r="Q58"/>
  <c r="O53"/>
  <c r="O52"/>
  <c r="P53"/>
  <c r="P52"/>
  <c r="O43"/>
  <c r="P43"/>
  <c r="O36"/>
  <c r="O35"/>
  <c r="P36"/>
  <c r="P35"/>
  <c r="O33"/>
  <c r="P33"/>
  <c r="O23"/>
  <c r="P23"/>
  <c r="AG6"/>
  <c r="AF6"/>
  <c r="AG7"/>
  <c r="AF7"/>
  <c r="P78"/>
  <c r="O78"/>
  <c r="P77"/>
  <c r="O77"/>
  <c r="R76"/>
  <c r="Q76"/>
  <c r="R75"/>
  <c r="Q75"/>
  <c r="P60"/>
  <c r="O60"/>
  <c r="P59"/>
  <c r="O59"/>
  <c r="R57"/>
  <c r="Q57"/>
  <c r="P50"/>
  <c r="O50"/>
  <c r="P49"/>
  <c r="O49"/>
  <c r="P47"/>
  <c r="O47"/>
  <c r="P46"/>
  <c r="O46"/>
  <c r="P44"/>
  <c r="O44"/>
  <c r="R42"/>
  <c r="Q42"/>
  <c r="R41"/>
  <c r="Q41"/>
  <c r="P32"/>
  <c r="O32"/>
  <c r="P30"/>
  <c r="O30"/>
  <c r="P29"/>
  <c r="O29"/>
  <c r="P27"/>
  <c r="O27"/>
  <c r="P26"/>
  <c r="O26"/>
  <c r="P24"/>
  <c r="O24"/>
  <c r="R22"/>
  <c r="Q22"/>
  <c r="R21"/>
  <c r="Q21"/>
  <c r="AD7"/>
  <c r="AC7"/>
  <c r="AA7"/>
  <c r="Z7"/>
  <c r="X7"/>
  <c r="W7"/>
  <c r="U7"/>
  <c r="T7"/>
  <c r="R7"/>
  <c r="Q7"/>
  <c r="AD6"/>
  <c r="AC6"/>
  <c r="AA6"/>
  <c r="Z6"/>
  <c r="X6"/>
  <c r="W6"/>
  <c r="U6"/>
  <c r="T6"/>
  <c r="R6"/>
  <c r="Q6"/>
  <c r="B34" i="4"/>
  <c r="C34" s="1"/>
  <c r="H119" i="5" l="1"/>
  <c r="I119" s="1"/>
  <c r="H88"/>
  <c r="I88" s="1"/>
  <c r="G15"/>
  <c r="H90"/>
  <c r="I90" s="1"/>
  <c r="G17"/>
  <c r="H92"/>
  <c r="I92" s="1"/>
  <c r="G19"/>
  <c r="H94"/>
  <c r="I94" s="1"/>
  <c r="G21"/>
  <c r="H96"/>
  <c r="I96" s="1"/>
  <c r="G23"/>
  <c r="H98"/>
  <c r="I98" s="1"/>
  <c r="G25"/>
  <c r="H100"/>
  <c r="I100" s="1"/>
  <c r="G27"/>
  <c r="H102"/>
  <c r="I102" s="1"/>
  <c r="G29"/>
  <c r="H104"/>
  <c r="I104" s="1"/>
  <c r="G31"/>
  <c r="H106"/>
  <c r="I106" s="1"/>
  <c r="G33"/>
  <c r="H108"/>
  <c r="I108" s="1"/>
  <c r="G35"/>
  <c r="H110"/>
  <c r="I110" s="1"/>
  <c r="G37"/>
  <c r="H112"/>
  <c r="I112" s="1"/>
  <c r="G39"/>
  <c r="H114"/>
  <c r="I114" s="1"/>
  <c r="G41"/>
  <c r="H116"/>
  <c r="I116" s="1"/>
  <c r="G43"/>
  <c r="H118"/>
  <c r="I118" s="1"/>
  <c r="G45"/>
  <c r="H89"/>
  <c r="I89" s="1"/>
  <c r="G16"/>
  <c r="H91"/>
  <c r="I91" s="1"/>
  <c r="G18"/>
  <c r="H93"/>
  <c r="I93" s="1"/>
  <c r="G20"/>
  <c r="H95"/>
  <c r="I95" s="1"/>
  <c r="G22"/>
  <c r="H97"/>
  <c r="I97" s="1"/>
  <c r="G24"/>
  <c r="H99"/>
  <c r="I99" s="1"/>
  <c r="G26"/>
  <c r="H101"/>
  <c r="I101" s="1"/>
  <c r="G28"/>
  <c r="H103"/>
  <c r="I103" s="1"/>
  <c r="G30"/>
  <c r="H105"/>
  <c r="I105" s="1"/>
  <c r="G32"/>
  <c r="H107"/>
  <c r="I107" s="1"/>
  <c r="G34"/>
  <c r="H109"/>
  <c r="I109" s="1"/>
  <c r="G36"/>
  <c r="H111"/>
  <c r="I111" s="1"/>
  <c r="G38"/>
  <c r="H113"/>
  <c r="I113" s="1"/>
  <c r="G40"/>
  <c r="H115"/>
  <c r="I115" s="1"/>
  <c r="G42"/>
  <c r="H117"/>
  <c r="I117" s="1"/>
  <c r="G44"/>
  <c r="Q32"/>
  <c r="Q41"/>
  <c r="Q50"/>
  <c r="F44" i="3"/>
  <c r="G44" s="1"/>
  <c r="F42"/>
  <c r="G42" s="1"/>
  <c r="E18"/>
  <c r="E19"/>
  <c r="O21" s="1"/>
  <c r="F43"/>
  <c r="G43" s="1"/>
  <c r="E17"/>
  <c r="F41"/>
  <c r="G41" s="1"/>
  <c r="F40"/>
  <c r="G40" s="1"/>
  <c r="E16"/>
  <c r="O23" s="1"/>
  <c r="E15"/>
  <c r="O32" s="1"/>
  <c r="F39"/>
  <c r="G39" s="1"/>
  <c r="E13"/>
  <c r="F37"/>
  <c r="G37" s="1"/>
  <c r="F38"/>
  <c r="G38" s="1"/>
  <c r="E14"/>
  <c r="O31" s="1"/>
  <c r="N32"/>
  <c r="F36"/>
  <c r="G36" s="1"/>
  <c r="E12"/>
  <c r="N23" s="1"/>
  <c r="E33" i="2"/>
  <c r="F33" s="1"/>
  <c r="D14"/>
  <c r="M23" s="1"/>
  <c r="E32"/>
  <c r="F32" s="1"/>
  <c r="D13"/>
  <c r="L23" s="1"/>
  <c r="D12"/>
  <c r="M22" s="1"/>
  <c r="E31"/>
  <c r="F31" s="1"/>
  <c r="E30"/>
  <c r="F30" s="1"/>
  <c r="D11"/>
  <c r="L22" s="1"/>
  <c r="O27" i="4"/>
  <c r="I213" i="6"/>
  <c r="J213" s="1"/>
  <c r="H78"/>
  <c r="I211"/>
  <c r="J211" s="1"/>
  <c r="H76"/>
  <c r="I209"/>
  <c r="J209" s="1"/>
  <c r="H74"/>
  <c r="I207"/>
  <c r="J207" s="1"/>
  <c r="H72"/>
  <c r="I205"/>
  <c r="J205" s="1"/>
  <c r="H70"/>
  <c r="I203"/>
  <c r="J203" s="1"/>
  <c r="H68"/>
  <c r="I201"/>
  <c r="J201" s="1"/>
  <c r="H66"/>
  <c r="I199"/>
  <c r="J199" s="1"/>
  <c r="H64"/>
  <c r="I197"/>
  <c r="J197" s="1"/>
  <c r="H62"/>
  <c r="I195"/>
  <c r="J195" s="1"/>
  <c r="H60"/>
  <c r="I193"/>
  <c r="J193" s="1"/>
  <c r="H58"/>
  <c r="I191"/>
  <c r="J191" s="1"/>
  <c r="H56"/>
  <c r="I189"/>
  <c r="J189" s="1"/>
  <c r="H54"/>
  <c r="I187"/>
  <c r="J187" s="1"/>
  <c r="H52"/>
  <c r="I185"/>
  <c r="J185" s="1"/>
  <c r="H50"/>
  <c r="I183"/>
  <c r="J183" s="1"/>
  <c r="H48"/>
  <c r="R36" s="1"/>
  <c r="I181"/>
  <c r="J181" s="1"/>
  <c r="H46"/>
  <c r="I179"/>
  <c r="J179" s="1"/>
  <c r="H44"/>
  <c r="I177"/>
  <c r="J177" s="1"/>
  <c r="H42"/>
  <c r="I175"/>
  <c r="J175" s="1"/>
  <c r="H40"/>
  <c r="I173"/>
  <c r="J173" s="1"/>
  <c r="H38"/>
  <c r="I171"/>
  <c r="J171" s="1"/>
  <c r="H36"/>
  <c r="I169"/>
  <c r="J169" s="1"/>
  <c r="H34"/>
  <c r="I167"/>
  <c r="J167" s="1"/>
  <c r="H32"/>
  <c r="I165"/>
  <c r="J165" s="1"/>
  <c r="H30"/>
  <c r="I163"/>
  <c r="J163" s="1"/>
  <c r="H28"/>
  <c r="I161"/>
  <c r="J161" s="1"/>
  <c r="H26"/>
  <c r="I159"/>
  <c r="J159" s="1"/>
  <c r="H24"/>
  <c r="R66" s="1"/>
  <c r="I157"/>
  <c r="J157" s="1"/>
  <c r="H22"/>
  <c r="I155"/>
  <c r="J155" s="1"/>
  <c r="H20"/>
  <c r="I153"/>
  <c r="J153" s="1"/>
  <c r="H18"/>
  <c r="I151"/>
  <c r="J151" s="1"/>
  <c r="H16"/>
  <c r="Q36" s="1"/>
  <c r="I212"/>
  <c r="J212" s="1"/>
  <c r="H77"/>
  <c r="H75"/>
  <c r="I210"/>
  <c r="J210" s="1"/>
  <c r="H73"/>
  <c r="I208"/>
  <c r="J208" s="1"/>
  <c r="I206"/>
  <c r="J206" s="1"/>
  <c r="H71"/>
  <c r="I204"/>
  <c r="J204" s="1"/>
  <c r="H69"/>
  <c r="H67"/>
  <c r="I202"/>
  <c r="J202" s="1"/>
  <c r="H65"/>
  <c r="I200"/>
  <c r="J200" s="1"/>
  <c r="I198"/>
  <c r="J198" s="1"/>
  <c r="H63"/>
  <c r="I196"/>
  <c r="J196" s="1"/>
  <c r="H61"/>
  <c r="H59"/>
  <c r="I194"/>
  <c r="J194" s="1"/>
  <c r="H57"/>
  <c r="I192"/>
  <c r="J192" s="1"/>
  <c r="I190"/>
  <c r="J190" s="1"/>
  <c r="H55"/>
  <c r="I188"/>
  <c r="J188" s="1"/>
  <c r="H53"/>
  <c r="H51"/>
  <c r="I186"/>
  <c r="J186" s="1"/>
  <c r="H49"/>
  <c r="I184"/>
  <c r="J184" s="1"/>
  <c r="I182"/>
  <c r="J182" s="1"/>
  <c r="H47"/>
  <c r="R32" s="1"/>
  <c r="I180"/>
  <c r="J180" s="1"/>
  <c r="H45"/>
  <c r="H43"/>
  <c r="I178"/>
  <c r="J178" s="1"/>
  <c r="H41"/>
  <c r="I176"/>
  <c r="J176" s="1"/>
  <c r="I174"/>
  <c r="J174" s="1"/>
  <c r="H39"/>
  <c r="I172"/>
  <c r="J172" s="1"/>
  <c r="H37"/>
  <c r="R47" s="1"/>
  <c r="H35"/>
  <c r="I170"/>
  <c r="J170" s="1"/>
  <c r="H33"/>
  <c r="I168"/>
  <c r="J168" s="1"/>
  <c r="I166"/>
  <c r="J166" s="1"/>
  <c r="H31"/>
  <c r="I164"/>
  <c r="J164" s="1"/>
  <c r="H29"/>
  <c r="H27"/>
  <c r="I162"/>
  <c r="J162" s="1"/>
  <c r="H25"/>
  <c r="I160"/>
  <c r="J160" s="1"/>
  <c r="I158"/>
  <c r="J158" s="1"/>
  <c r="H23"/>
  <c r="R65" s="1"/>
  <c r="I156"/>
  <c r="J156" s="1"/>
  <c r="H21"/>
  <c r="H19"/>
  <c r="I154"/>
  <c r="J154" s="1"/>
  <c r="H17"/>
  <c r="I152"/>
  <c r="J152" s="1"/>
  <c r="I150"/>
  <c r="J150" s="1"/>
  <c r="H15"/>
  <c r="Q23" s="1"/>
  <c r="Q26" i="5"/>
  <c r="P39"/>
  <c r="G14"/>
  <c r="D34" i="4"/>
  <c r="R16" s="1"/>
  <c r="T43"/>
  <c r="O21"/>
  <c r="O25"/>
  <c r="O28"/>
  <c r="T40"/>
  <c r="B33"/>
  <c r="S17" s="1"/>
  <c r="F34"/>
  <c r="X16" s="1"/>
  <c r="E34"/>
  <c r="U16" s="1"/>
  <c r="N31" i="3"/>
  <c r="O20"/>
  <c r="E22" i="7"/>
  <c r="R35" i="6"/>
  <c r="R53"/>
  <c r="Q66"/>
  <c r="R30"/>
  <c r="R60"/>
  <c r="R93"/>
  <c r="W17" i="4"/>
  <c r="X17"/>
  <c r="P17"/>
  <c r="N17"/>
  <c r="Q17"/>
  <c r="D33"/>
  <c r="Q16" s="1"/>
  <c r="F33"/>
  <c r="W16" s="1"/>
  <c r="V17"/>
  <c r="R17"/>
  <c r="O24" i="3"/>
  <c r="N20"/>
  <c r="N24"/>
  <c r="B17" i="2"/>
  <c r="N15" s="1"/>
  <c r="B18"/>
  <c r="M15"/>
  <c r="Q81" i="6"/>
  <c r="Q93"/>
  <c r="Q80"/>
  <c r="Q65"/>
  <c r="Q49"/>
  <c r="Q35"/>
  <c r="Q29"/>
  <c r="B82"/>
  <c r="R62"/>
  <c r="Q44"/>
  <c r="R46"/>
  <c r="R29"/>
  <c r="Q53"/>
  <c r="R43"/>
  <c r="R81"/>
  <c r="B81"/>
  <c r="AE9" s="1"/>
  <c r="O16" i="4"/>
  <c r="H81" i="6"/>
  <c r="AF8" s="1"/>
  <c r="R23"/>
  <c r="Q30"/>
  <c r="Q50"/>
  <c r="Q47"/>
  <c r="Q63"/>
  <c r="T9"/>
  <c r="R78"/>
  <c r="R24"/>
  <c r="R44"/>
  <c r="R92"/>
  <c r="Q27" i="5" l="1"/>
  <c r="Q42"/>
  <c r="P24"/>
  <c r="Q51"/>
  <c r="Q66"/>
  <c r="B51"/>
  <c r="P30"/>
  <c r="Q29"/>
  <c r="Q23"/>
  <c r="Q38"/>
  <c r="Q44"/>
  <c r="Q53"/>
  <c r="P27"/>
  <c r="P51"/>
  <c r="P42"/>
  <c r="P67"/>
  <c r="P54"/>
  <c r="P33"/>
  <c r="P45"/>
  <c r="Q24"/>
  <c r="Q30"/>
  <c r="Q39"/>
  <c r="Q33"/>
  <c r="Q45"/>
  <c r="Q54"/>
  <c r="Q67"/>
  <c r="U17" i="4"/>
  <c r="E33"/>
  <c r="T16" s="1"/>
  <c r="T17"/>
  <c r="C33"/>
  <c r="N16" s="1"/>
  <c r="N21" i="3"/>
  <c r="B22"/>
  <c r="B23"/>
  <c r="Q78" i="6"/>
  <c r="R63"/>
  <c r="R50"/>
  <c r="R33"/>
  <c r="X9"/>
  <c r="D81"/>
  <c r="T8" s="1"/>
  <c r="Q33"/>
  <c r="R77"/>
  <c r="Q60"/>
  <c r="R80"/>
  <c r="R49"/>
  <c r="Q24"/>
  <c r="AB9"/>
  <c r="E81"/>
  <c r="W8" s="1"/>
  <c r="G81"/>
  <c r="AC8" s="1"/>
  <c r="W9"/>
  <c r="Q9"/>
  <c r="Q27"/>
  <c r="Q43"/>
  <c r="R52"/>
  <c r="R59"/>
  <c r="R26"/>
  <c r="R27"/>
  <c r="Q77"/>
  <c r="Q92"/>
  <c r="Q59"/>
  <c r="Q26"/>
  <c r="Q46"/>
  <c r="Q62"/>
  <c r="Q32"/>
  <c r="Q52"/>
  <c r="V9"/>
  <c r="AF9"/>
  <c r="Z9"/>
  <c r="Y9"/>
  <c r="AD9"/>
  <c r="S9"/>
  <c r="AA9"/>
  <c r="F81"/>
  <c r="AG9"/>
  <c r="R9"/>
  <c r="U9"/>
  <c r="AC9"/>
  <c r="D51" i="5"/>
  <c r="G51"/>
  <c r="F51"/>
  <c r="E51"/>
  <c r="C51"/>
  <c r="P66"/>
  <c r="P53"/>
  <c r="P50"/>
  <c r="P44"/>
  <c r="P41"/>
  <c r="P38"/>
  <c r="P32"/>
  <c r="P29"/>
  <c r="P26"/>
  <c r="P23"/>
  <c r="B50"/>
  <c r="G50" s="1"/>
  <c r="AB8" s="1"/>
  <c r="O17" i="4"/>
  <c r="C50" i="5"/>
  <c r="P8" s="1"/>
  <c r="D50"/>
  <c r="S8" s="1"/>
  <c r="AB9"/>
  <c r="AA9"/>
  <c r="V9"/>
  <c r="Z9"/>
  <c r="E50"/>
  <c r="V8" s="1"/>
  <c r="Q9"/>
  <c r="U9"/>
  <c r="Y9"/>
  <c r="L15" i="2"/>
  <c r="C17"/>
  <c r="L14" s="1"/>
  <c r="P15"/>
  <c r="D17"/>
  <c r="O14" s="1"/>
  <c r="O15"/>
  <c r="D18"/>
  <c r="C18"/>
  <c r="C82" i="6"/>
  <c r="G82"/>
  <c r="H82"/>
  <c r="D82"/>
  <c r="E82"/>
  <c r="F82"/>
  <c r="C81"/>
  <c r="Z8"/>
  <c r="Z8" i="5"/>
  <c r="AC8"/>
  <c r="T8"/>
  <c r="Q8"/>
  <c r="W8"/>
  <c r="X9" l="1"/>
  <c r="R9"/>
  <c r="S9"/>
  <c r="T9"/>
  <c r="W9"/>
  <c r="F50"/>
  <c r="Y8" s="1"/>
  <c r="S16" i="3"/>
  <c r="T16"/>
  <c r="M16"/>
  <c r="E22"/>
  <c r="S15" s="1"/>
  <c r="N16"/>
  <c r="O16"/>
  <c r="C22"/>
  <c r="R16"/>
  <c r="Q16"/>
  <c r="P16"/>
  <c r="D22"/>
  <c r="C23"/>
  <c r="E23"/>
  <c r="D23"/>
  <c r="AC9" i="5"/>
  <c r="P9"/>
  <c r="P14" i="2"/>
  <c r="M14"/>
  <c r="AA8" i="6"/>
  <c r="U8"/>
  <c r="AG8"/>
  <c r="R8"/>
  <c r="X8"/>
  <c r="AD8"/>
  <c r="Q8"/>
  <c r="T15" i="3" l="1"/>
  <c r="P15"/>
  <c r="Q15"/>
  <c r="N15"/>
  <c r="M15"/>
</calcChain>
</file>

<file path=xl/sharedStrings.xml><?xml version="1.0" encoding="utf-8"?>
<sst xmlns="http://schemas.openxmlformats.org/spreadsheetml/2006/main" count="4362" uniqueCount="261">
  <si>
    <t>A</t>
  </si>
  <si>
    <t>B</t>
  </si>
  <si>
    <t>C</t>
  </si>
  <si>
    <t>D</t>
  </si>
  <si>
    <t>E</t>
  </si>
  <si>
    <t>F</t>
  </si>
  <si>
    <t>Domaine du plan</t>
  </si>
  <si>
    <t>Facteurs</t>
  </si>
  <si>
    <t>Niveau 1</t>
  </si>
  <si>
    <t>Niveau 2</t>
  </si>
  <si>
    <t>NE DOCUMENTER</t>
  </si>
  <si>
    <t xml:space="preserve">A =  </t>
  </si>
  <si>
    <t xml:space="preserve">B =  </t>
  </si>
  <si>
    <t>DE COULEUR BLANCHE</t>
  </si>
  <si>
    <t/>
  </si>
  <si>
    <t>Essais</t>
  </si>
  <si>
    <t>Réponses</t>
  </si>
  <si>
    <t>Y1</t>
  </si>
  <si>
    <t>Y2</t>
  </si>
  <si>
    <t>Y3</t>
  </si>
  <si>
    <t>Y4</t>
  </si>
  <si>
    <t>Y5</t>
  </si>
  <si>
    <t>Moyenne</t>
  </si>
  <si>
    <t>Effets moyens</t>
  </si>
  <si>
    <t>Général</t>
  </si>
  <si>
    <t>Facteur A</t>
  </si>
  <si>
    <t>Facteur B</t>
  </si>
  <si>
    <t>niveau 1</t>
  </si>
  <si>
    <t>niveau 2</t>
  </si>
  <si>
    <t xml:space="preserve">C =  </t>
  </si>
  <si>
    <t>Facteur</t>
  </si>
  <si>
    <t>Facteur C</t>
  </si>
  <si>
    <t xml:space="preserve">D =  </t>
  </si>
  <si>
    <t>Int. avec A</t>
  </si>
  <si>
    <t>Int avec B</t>
  </si>
  <si>
    <t>Facteur D</t>
  </si>
  <si>
    <t xml:space="preserve">E =  </t>
  </si>
  <si>
    <t>Int. avec B</t>
  </si>
  <si>
    <t>Int. avec C</t>
  </si>
  <si>
    <t>Facteur E</t>
  </si>
  <si>
    <t>Int. DE</t>
  </si>
  <si>
    <t xml:space="preserve">Domaine du plan </t>
  </si>
  <si>
    <t xml:space="preserve">F =  </t>
  </si>
  <si>
    <t>Int avec C</t>
  </si>
  <si>
    <t>Int. avec D</t>
  </si>
  <si>
    <t>Facteur F</t>
  </si>
  <si>
    <t>75°C</t>
  </si>
  <si>
    <t>85°C</t>
  </si>
  <si>
    <t>100 min</t>
  </si>
  <si>
    <t>140 min</t>
  </si>
  <si>
    <t>20 rpm</t>
  </si>
  <si>
    <t>40 rpm</t>
  </si>
  <si>
    <t>DIDP</t>
  </si>
  <si>
    <t>40</t>
  </si>
  <si>
    <t>50</t>
  </si>
  <si>
    <t xml:space="preserve"> </t>
  </si>
  <si>
    <t>A bas</t>
  </si>
  <si>
    <t>A haut</t>
  </si>
  <si>
    <t>B inf</t>
  </si>
  <si>
    <t>B sup</t>
  </si>
  <si>
    <t>C inf</t>
  </si>
  <si>
    <t>C sup</t>
  </si>
  <si>
    <t>D inf</t>
  </si>
  <si>
    <t>D sup</t>
  </si>
  <si>
    <t>E inf</t>
  </si>
  <si>
    <t>E sup</t>
  </si>
  <si>
    <t>A inf</t>
  </si>
  <si>
    <t>A sup</t>
  </si>
  <si>
    <t>F inf</t>
  </si>
  <si>
    <t>F sup</t>
  </si>
  <si>
    <t>75</t>
  </si>
  <si>
    <t>85</t>
  </si>
  <si>
    <t>Durée</t>
  </si>
  <si>
    <t>100</t>
  </si>
  <si>
    <t>140</t>
  </si>
  <si>
    <t>24°C</t>
  </si>
  <si>
    <t>28°C</t>
  </si>
  <si>
    <t>22h</t>
  </si>
  <si>
    <t>24h</t>
  </si>
  <si>
    <t>Souche</t>
  </si>
  <si>
    <t>SA</t>
  </si>
  <si>
    <t>SB</t>
  </si>
  <si>
    <t>Calcul du nombre d'essais nécessaires pour un plan d'expériences complet</t>
  </si>
  <si>
    <t>pour un plan d'expériences complet, c'est à dire permettant de calculer tous</t>
  </si>
  <si>
    <t>Le calcul est possible jusqu'à 30 facteurs ayant au plus chacun 20 niveaux.</t>
  </si>
  <si>
    <t>Niveaux = 1 :</t>
  </si>
  <si>
    <t>Niveaux &gt; 20 :</t>
  </si>
  <si>
    <t>de chacun des facteurs de l'expérience. Laisser à zéro les facteurs non utilisés.</t>
  </si>
  <si>
    <t>Le nombre minimal d'essais nécessaires</t>
  </si>
  <si>
    <t>Nb. niveaux</t>
  </si>
  <si>
    <t>NBSI 2</t>
  </si>
  <si>
    <t>NBSI 3</t>
  </si>
  <si>
    <t>NBSI 4</t>
  </si>
  <si>
    <t>NBSI 5</t>
  </si>
  <si>
    <t>NBSI 6</t>
  </si>
  <si>
    <t>NBSI 7</t>
  </si>
  <si>
    <t>NBSI 8</t>
  </si>
  <si>
    <t>NBSI 9</t>
  </si>
  <si>
    <t>NBSI 10</t>
  </si>
  <si>
    <t>NBSI 11</t>
  </si>
  <si>
    <t>NBSI 12</t>
  </si>
  <si>
    <t>NBSI 13</t>
  </si>
  <si>
    <t>NBSI 14</t>
  </si>
  <si>
    <t>NBSI 15</t>
  </si>
  <si>
    <t>NBSI 16</t>
  </si>
  <si>
    <t>NBSI 17</t>
  </si>
  <si>
    <t>NBSI 18</t>
  </si>
  <si>
    <t>NBSI 19</t>
  </si>
  <si>
    <t>NBSI 20</t>
  </si>
  <si>
    <t>Facteur 1</t>
  </si>
  <si>
    <t>Facteur 2</t>
  </si>
  <si>
    <t>Facteur 3</t>
  </si>
  <si>
    <t>Facteur 4</t>
  </si>
  <si>
    <t>Facteur 5</t>
  </si>
  <si>
    <t>Facteur 6</t>
  </si>
  <si>
    <t>Facteur 7</t>
  </si>
  <si>
    <t>Facteur 8</t>
  </si>
  <si>
    <t>Facteur 9</t>
  </si>
  <si>
    <t>Facteur 10</t>
  </si>
  <si>
    <t>Facteur 11</t>
  </si>
  <si>
    <t>Facteur 12</t>
  </si>
  <si>
    <t>Facteur 13</t>
  </si>
  <si>
    <t>Facteur 14</t>
  </si>
  <si>
    <t>Facteur 15</t>
  </si>
  <si>
    <t>Facteur 16</t>
  </si>
  <si>
    <t>Facteur 17</t>
  </si>
  <si>
    <t>Facteur 18</t>
  </si>
  <si>
    <t>Facteur 19</t>
  </si>
  <si>
    <t>Facteur 20</t>
  </si>
  <si>
    <t>Facteur 21</t>
  </si>
  <si>
    <t>Facteur 22</t>
  </si>
  <si>
    <t>Facteur 23</t>
  </si>
  <si>
    <t>Facteur 24</t>
  </si>
  <si>
    <t>Facteur 25</t>
  </si>
  <si>
    <t>Facteur 26</t>
  </si>
  <si>
    <t>Facteur 27</t>
  </si>
  <si>
    <t>Facteur 28</t>
  </si>
  <si>
    <t>Facteur 29</t>
  </si>
  <si>
    <t>Facteur 30</t>
  </si>
  <si>
    <t>La réalisation des mesures nécessite en outre une randomisation de l'ordre des essais.</t>
  </si>
  <si>
    <t>Temp.</t>
  </si>
  <si>
    <t>Vitesse</t>
  </si>
  <si>
    <t>Utiliser les colonnes Y2 à Y5 pour des réplications éventuelles.</t>
  </si>
  <si>
    <t>QUE LES CELLULES</t>
  </si>
  <si>
    <t>C bas</t>
  </si>
  <si>
    <t>C haut</t>
  </si>
  <si>
    <t>D faible</t>
  </si>
  <si>
    <t>D fort</t>
  </si>
  <si>
    <t>pour ce plan complet est :</t>
  </si>
  <si>
    <t>A1</t>
  </si>
  <si>
    <t>B1</t>
  </si>
  <si>
    <t>B2</t>
  </si>
  <si>
    <t>A2</t>
  </si>
  <si>
    <t>Deux facteurs indépendants à deux niveaux chacun</t>
  </si>
  <si>
    <t>Données empilées</t>
  </si>
  <si>
    <t>C1</t>
  </si>
  <si>
    <t>C2</t>
  </si>
  <si>
    <t>Trois facteurs à deux niveaux chacun</t>
  </si>
  <si>
    <t>D1</t>
  </si>
  <si>
    <t>D2</t>
  </si>
  <si>
    <t>Quatre facteurs à deux niveaux chacun</t>
  </si>
  <si>
    <t>E1</t>
  </si>
  <si>
    <t>E2</t>
  </si>
  <si>
    <t>Cinq facteurs à deux niveaux chacun</t>
  </si>
  <si>
    <t>F1</t>
  </si>
  <si>
    <t>F2</t>
  </si>
  <si>
    <t>Six facteurs à deux niveaux chacun</t>
  </si>
  <si>
    <r>
      <rPr>
        <u/>
        <sz val="9"/>
        <rFont val="Times New Roman"/>
        <family val="1"/>
      </rPr>
      <t>Contact</t>
    </r>
    <r>
      <rPr>
        <sz val="9"/>
        <rFont val="Times New Roman"/>
        <family val="1"/>
      </rPr>
      <t xml:space="preserve"> : info_at_anastats.fr</t>
    </r>
  </si>
  <si>
    <r>
      <rPr>
        <b/>
        <sz val="10"/>
        <rFont val="Trebuchet MS"/>
        <family val="2"/>
      </rPr>
      <t>Cette première feuille</t>
    </r>
    <r>
      <rPr>
        <sz val="10"/>
        <rFont val="Trebuchet MS"/>
        <family val="2"/>
      </rPr>
      <t xml:space="preserve"> permet de calculer le nombre minimal d'essais nécessaires</t>
    </r>
  </si>
  <si>
    <r>
      <rPr>
        <b/>
        <sz val="10"/>
        <rFont val="Trebuchet MS"/>
        <family val="2"/>
      </rPr>
      <t>Les feuilles suivantes</t>
    </r>
    <r>
      <rPr>
        <sz val="10"/>
        <rFont val="Trebuchet MS"/>
        <family val="2"/>
      </rPr>
      <t xml:space="preserve"> aident à la réalisation de quelques plans complets</t>
    </r>
  </si>
  <si>
    <r>
      <t xml:space="preserve">utilisant uniquement des facteurs à 2 niveaux. </t>
    </r>
    <r>
      <rPr>
        <u/>
        <sz val="10"/>
        <rFont val="Trebuchet MS"/>
        <family val="2"/>
      </rPr>
      <t>Tous les effectifs doivent être équilibrés</t>
    </r>
    <r>
      <rPr>
        <sz val="10"/>
        <rFont val="Trebuchet MS"/>
        <family val="2"/>
      </rPr>
      <t>.</t>
    </r>
  </si>
  <si>
    <r>
      <rPr>
        <b/>
        <sz val="10"/>
        <rFont val="Trebuchet MS"/>
        <family val="2"/>
      </rPr>
      <t>Dans le tableau ci-dessous</t>
    </r>
    <r>
      <rPr>
        <sz val="10"/>
        <rFont val="Trebuchet MS"/>
        <family val="2"/>
      </rPr>
      <t>, indiquer dans les cellules jaunes le nombre de niveaux</t>
    </r>
  </si>
  <si>
    <t>les effets principaux.</t>
  </si>
  <si>
    <t xml:space="preserve">Une fois les résultats saisis, chaque feuille fournit les graphiques </t>
  </si>
  <si>
    <t>des effets principaux et des interactions.</t>
  </si>
  <si>
    <t>Plan factoriel complet à deux dimensions</t>
  </si>
  <si>
    <t>Plan factoriel complet à trois dimensions</t>
  </si>
  <si>
    <t>Plan factoriel complet à quatre dimensions</t>
  </si>
  <si>
    <t>Plan factoriel complet à cinq dimensions</t>
  </si>
  <si>
    <t>Plan factoriel complet à six dimensions</t>
  </si>
  <si>
    <t>reponses</t>
  </si>
  <si>
    <t>fact.a</t>
  </si>
  <si>
    <t>fact.b</t>
  </si>
  <si>
    <t>Réalisation de l'analyse de variance avec le logiciel R</t>
  </si>
  <si>
    <t>2. ANOVA</t>
  </si>
  <si>
    <t>f2n2&lt;-lm(reponses~fact.a + fact.b, data=data)</t>
  </si>
  <si>
    <t>summary(f2n2) # coefficients</t>
  </si>
  <si>
    <t>anova(f2n2) # tableau de l'ANOVA</t>
  </si>
  <si>
    <t>f2n2&lt;-lm(reponses~fact.a * fact.b, data=data)</t>
  </si>
  <si>
    <t>groupes</t>
  </si>
  <si>
    <t>fact.c</t>
  </si>
  <si>
    <t xml:space="preserve">    2.2.1. Test de l'homogénéité des variances dans les groupes</t>
  </si>
  <si>
    <t xml:space="preserve">    2.2.2. ANOVA si plusieurs séries de réponses</t>
  </si>
  <si>
    <t>f3n2&lt;-lm(reponses~fact.a + fact.b + fact.c, data=data)</t>
  </si>
  <si>
    <t>summary(f3n2) # coefficients</t>
  </si>
  <si>
    <t>anova(f3n2) # tableau de l'ANOVA</t>
  </si>
  <si>
    <t>f3n2&lt;-lm(reponses~fact.a * fact.b * fact.c, data=data)</t>
  </si>
  <si>
    <t>fact.d</t>
  </si>
  <si>
    <t>summary(f4n2) # coefficients</t>
  </si>
  <si>
    <t>anova(f4n2) # tableau de l'ANOVA</t>
  </si>
  <si>
    <t>f4n2&lt;-lm(reponses~fact.a * fact.b * fact.c * fact.d, data=data)</t>
  </si>
  <si>
    <t>f4n2&lt;-lm(reponses~fact.a + fact.b + fact.c + fact.d, data=data)</t>
  </si>
  <si>
    <t>fact.e</t>
  </si>
  <si>
    <t>summary(f5n2) # coefficients</t>
  </si>
  <si>
    <t>anova(f5n2) # tableau de l'ANOVA</t>
  </si>
  <si>
    <t>f5n2&lt;-lm(reponses~fact.a + fact.b + fact.c + fact.d + fact.e, data=data)</t>
  </si>
  <si>
    <t>f5n2&lt;-lm(reponses~fact.a * fact.b * fact.c * fact.d * fact.e, data=data)</t>
  </si>
  <si>
    <t>fact.f</t>
  </si>
  <si>
    <t>summary(f6n2) # coefficients</t>
  </si>
  <si>
    <t>anova(f6n2) # tableau de l'ANOVA</t>
  </si>
  <si>
    <t>f6n2&lt;-lm(reponses~fact.a + fact.b + fact.c + fact.d + fact.e + fact.f, data=data)</t>
  </si>
  <si>
    <t>f6n2&lt;-lm(reponses~fact.a * fact.b * fact.c * fact.d * fact.e * fact.f, data=data)</t>
  </si>
  <si>
    <t>et la ligne de titres de colonnes.</t>
  </si>
  <si>
    <r>
      <rPr>
        <b/>
        <sz val="10"/>
        <rFont val="Times New Roman"/>
        <family val="1"/>
      </rPr>
      <t>1. Importer le tableau</t>
    </r>
    <r>
      <rPr>
        <sz val="10"/>
        <rFont val="Times New Roman"/>
        <family val="1"/>
      </rPr>
      <t xml:space="preserve"> des "données empilées" sous 'data', uniquement les lignes contenant des réponses numériques</t>
    </r>
  </si>
  <si>
    <r>
      <rPr>
        <sz val="10"/>
        <rFont val="Times New Roman"/>
        <family val="1"/>
      </rPr>
      <t xml:space="preserve">  </t>
    </r>
    <r>
      <rPr>
        <u/>
        <sz val="10"/>
        <rFont val="Times New Roman"/>
        <family val="1"/>
      </rPr>
      <t>2.1. Si une seule série de réponses =&gt; ANOVA</t>
    </r>
  </si>
  <si>
    <r>
      <rPr>
        <sz val="10"/>
        <rFont val="Times New Roman"/>
        <family val="1"/>
      </rPr>
      <t xml:space="preserve">  </t>
    </r>
    <r>
      <rPr>
        <u/>
        <sz val="10"/>
        <rFont val="Times New Roman"/>
        <family val="1"/>
      </rPr>
      <t>2.2. Si plusieurs séries de réponses</t>
    </r>
  </si>
  <si>
    <r>
      <t xml:space="preserve">  </t>
    </r>
    <r>
      <rPr>
        <u/>
        <sz val="10"/>
        <rFont val="Times New Roman"/>
        <family val="1"/>
      </rPr>
      <t>2.1. Si une seule série de réponses =&gt; ANOVA</t>
    </r>
  </si>
  <si>
    <r>
      <t xml:space="preserve">  </t>
    </r>
    <r>
      <rPr>
        <u/>
        <sz val="10"/>
        <rFont val="Times New Roman"/>
        <family val="1"/>
      </rPr>
      <t>2.2. Si plusieurs séries de réponses</t>
    </r>
  </si>
  <si>
    <t>Commandes de l'ANOVA avec R</t>
  </si>
  <si>
    <t>sous le tableau des données empilées</t>
  </si>
  <si>
    <t>pour réaliser l'analyse de variance sous R.</t>
  </si>
  <si>
    <t xml:space="preserve">Outre le tableau des données empilées, chaque feuille fournit les commandes </t>
  </si>
  <si>
    <t>leveneTest(reponses~groupes, data)</t>
  </si>
  <si>
    <t>library(car)</t>
  </si>
  <si>
    <t>blocs</t>
  </si>
  <si>
    <t>Deux solutions selon le déroulement des mesures :</t>
  </si>
  <si>
    <t>- solution 1 : toutes les mesures ont été randomisées ensemble.</t>
  </si>
  <si>
    <t xml:space="preserve">  Il s'agit alors d'un modèle à effets fixes seuls.</t>
  </si>
  <si>
    <t>- solution 2 : les séries Y1, Y2, Y3…Y5 sont des réplications indépendantes</t>
  </si>
  <si>
    <t xml:space="preserve">  constituant des "blocs" entre lesquels existe une variation non contrôlée.</t>
  </si>
  <si>
    <t xml:space="preserve">  Il s'agit alors d'un modèle à effets mixtes.</t>
  </si>
  <si>
    <t>Solution 1 : effets fixes seuls</t>
  </si>
  <si>
    <t>Solution 2 : effets mixtes</t>
  </si>
  <si>
    <t>library(nlme)</t>
  </si>
  <si>
    <t>f2n2&lt;-lme(reponses~fact.a*fact.b, random=~1|blocs, data=data)</t>
  </si>
  <si>
    <t>Anova(f2n2) # tableau de l'ANOVA</t>
  </si>
  <si>
    <t>shapiro.test(residuals(f2n2))</t>
  </si>
  <si>
    <t>f3n2&lt;-lme(reponses~fact.a*fact.b*fact.c, random=~1|blocs, data=data)</t>
  </si>
  <si>
    <t>Anova(f3n2) # tableau de l'ANOVA</t>
  </si>
  <si>
    <t>shapiro.test(residuals(f3n2))</t>
  </si>
  <si>
    <t>f4n2&lt;-lme(reponses~fact.a*fact.b*fact.c*fact.d, random=~1|blocs, data=data)</t>
  </si>
  <si>
    <t>shapiro.test(residuals(f4n2))</t>
  </si>
  <si>
    <t>Anova(f4n2) # tableau de l'ANOVA</t>
  </si>
  <si>
    <t>Anova(f5n2) # tableau de l'ANOVA</t>
  </si>
  <si>
    <t>f5n2&lt;-lme(reponses~fact.a*fact.b*fact.c*fact.d*fact.e, random=~1|blocs, data=data)</t>
  </si>
  <si>
    <t>shapiro.test(residuals(f5n2))</t>
  </si>
  <si>
    <t>f6n2&lt;-lme(reponses~fact.a*fact.b*fact.c*fact.d*fact.e*fact.f, random=~1|blocs, data=data)</t>
  </si>
  <si>
    <t>Anova(f6n2) # tableau de l'ANOVA</t>
  </si>
  <si>
    <t>shapiro.test(residuals(f6n2))</t>
  </si>
  <si>
    <t>info@anastats.fr</t>
  </si>
  <si>
    <r>
      <rPr>
        <b/>
        <sz val="10"/>
        <rFont val="Times New Roman"/>
        <family val="1"/>
      </rPr>
      <t>3. Test et observation de la normalité des résidus</t>
    </r>
    <r>
      <rPr>
        <sz val="10"/>
        <rFont val="Times New Roman"/>
        <family val="1"/>
      </rPr>
      <t xml:space="preserve"> (dans tous les cas)</t>
    </r>
  </si>
  <si>
    <t>qqnorm(residuals(f2n2)) ; qqline(residuals(f2n2))</t>
  </si>
  <si>
    <t>hist(residuals(f2n2))</t>
  </si>
  <si>
    <t>qqnorm(residuals(f3n2)) ; qqline(residuals(f3n2))</t>
  </si>
  <si>
    <t>hist(residuals(f3n2))</t>
  </si>
  <si>
    <t>qqnorm(residuals(f4n2)) ; qqline(residuals(f4n2))</t>
  </si>
  <si>
    <t>hist(residuals(f4n2))</t>
  </si>
  <si>
    <t>qqnorm(residuals(f5n2)) ; qqline(residuals(f5n2))</t>
  </si>
  <si>
    <t>hist(residuals(f5n2))</t>
  </si>
  <si>
    <t>qqnorm(residuals(f6n2)) ; qqline(residuals(f6n2))</t>
  </si>
  <si>
    <t>hist(residuals(f6n2))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</si>
</sst>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"/>
  </numFmts>
  <fonts count="47">
    <font>
      <sz val="10"/>
      <name val="Times New Roman"/>
    </font>
    <font>
      <sz val="10"/>
      <color theme="1"/>
      <name val="Arial"/>
      <family val="2"/>
    </font>
    <font>
      <b/>
      <sz val="1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0"/>
      <color indexed="16"/>
      <name val="Times New Roman"/>
      <family val="1"/>
    </font>
    <font>
      <b/>
      <i/>
      <sz val="12"/>
      <color indexed="32"/>
      <name val="Times New Roman"/>
      <family val="1"/>
    </font>
    <font>
      <i/>
      <sz val="12"/>
      <color indexed="32"/>
      <name val="Times New Roman"/>
      <family val="1"/>
    </font>
    <font>
      <i/>
      <sz val="10"/>
      <color indexed="32"/>
      <name val="Times New Roman"/>
      <family val="1"/>
    </font>
    <font>
      <b/>
      <i/>
      <sz val="11"/>
      <color indexed="32"/>
      <name val="Times New Roman"/>
      <family val="1"/>
    </font>
    <font>
      <i/>
      <sz val="10"/>
      <color indexed="32"/>
      <name val="Times New Roman"/>
      <family val="1"/>
    </font>
    <font>
      <b/>
      <i/>
      <sz val="10"/>
      <color indexed="32"/>
      <name val="Times New Roman"/>
      <family val="1"/>
    </font>
    <font>
      <u/>
      <sz val="8.5"/>
      <color indexed="12"/>
      <name val="Times New Roman"/>
      <family val="1"/>
    </font>
    <font>
      <b/>
      <sz val="10"/>
      <color rgb="FFFF0000"/>
      <name val="Arial"/>
      <family val="2"/>
    </font>
    <font>
      <u/>
      <sz val="9"/>
      <color theme="10"/>
      <name val="Times New Roman"/>
      <family val="1"/>
    </font>
    <font>
      <b/>
      <sz val="12"/>
      <color indexed="16"/>
      <name val="Times New Roman"/>
      <family val="1"/>
    </font>
    <font>
      <sz val="10"/>
      <color theme="0"/>
      <name val="Times New Roman"/>
      <family val="1"/>
    </font>
    <font>
      <b/>
      <sz val="11"/>
      <color theme="0"/>
      <name val="Times New Roman"/>
      <family val="1"/>
    </font>
    <font>
      <b/>
      <sz val="12"/>
      <name val="Trebuchet MS"/>
      <family val="2"/>
    </font>
    <font>
      <sz val="10"/>
      <name val="Arial"/>
      <family val="2"/>
    </font>
    <font>
      <sz val="10"/>
      <color indexed="32"/>
      <name val="Arial"/>
      <family val="2"/>
    </font>
    <font>
      <b/>
      <sz val="10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  <font>
      <sz val="10"/>
      <name val="Trebuchet MS"/>
      <family val="2"/>
    </font>
    <font>
      <b/>
      <sz val="10"/>
      <name val="Trebuchet MS"/>
      <family val="2"/>
    </font>
    <font>
      <u/>
      <sz val="10"/>
      <name val="Trebuchet MS"/>
      <family val="2"/>
    </font>
    <font>
      <sz val="12"/>
      <name val="Trebuchet MS"/>
      <family val="2"/>
    </font>
    <font>
      <b/>
      <sz val="10"/>
      <name val="Courier New"/>
      <family val="3"/>
    </font>
    <font>
      <b/>
      <sz val="11"/>
      <name val="Trebuchet MS"/>
      <family val="2"/>
    </font>
    <font>
      <u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73">
    <xf numFmtId="0" fontId="0" fillId="0" borderId="0" xfId="0"/>
    <xf numFmtId="0" fontId="7" fillId="5" borderId="4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centerContinuous"/>
    </xf>
    <xf numFmtId="0" fontId="0" fillId="5" borderId="3" xfId="0" applyFill="1" applyBorder="1"/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right"/>
    </xf>
    <xf numFmtId="0" fontId="2" fillId="5" borderId="6" xfId="0" applyFont="1" applyFill="1" applyBorder="1" applyAlignment="1">
      <alignment horizontal="right"/>
    </xf>
    <xf numFmtId="49" fontId="5" fillId="2" borderId="1" xfId="0" applyNumberFormat="1" applyFont="1" applyFill="1" applyBorder="1" applyAlignment="1" applyProtection="1">
      <alignment horizontal="center"/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164" fontId="5" fillId="2" borderId="1" xfId="0" applyNumberFormat="1" applyFont="1" applyFill="1" applyBorder="1" applyAlignment="1" applyProtection="1">
      <alignment horizontal="center"/>
      <protection locked="0"/>
    </xf>
    <xf numFmtId="0" fontId="7" fillId="5" borderId="1" xfId="0" applyFont="1" applyFill="1" applyBorder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7" fillId="4" borderId="1" xfId="0" applyFont="1" applyFill="1" applyBorder="1"/>
    <xf numFmtId="0" fontId="7" fillId="4" borderId="1" xfId="0" applyFont="1" applyFill="1" applyBorder="1" applyAlignment="1">
      <alignment horizontal="center"/>
    </xf>
    <xf numFmtId="49" fontId="13" fillId="4" borderId="1" xfId="0" applyNumberFormat="1" applyFont="1" applyFill="1" applyBorder="1" applyAlignment="1">
      <alignment horizontal="center"/>
    </xf>
    <xf numFmtId="49" fontId="7" fillId="4" borderId="1" xfId="0" applyNumberFormat="1" applyFont="1" applyFill="1" applyBorder="1" applyAlignment="1">
      <alignment horizontal="center"/>
    </xf>
    <xf numFmtId="164" fontId="7" fillId="4" borderId="1" xfId="0" applyNumberFormat="1" applyFont="1" applyFill="1" applyBorder="1" applyAlignment="1">
      <alignment horizontal="center"/>
    </xf>
    <xf numFmtId="0" fontId="7" fillId="5" borderId="17" xfId="0" applyFont="1" applyFill="1" applyBorder="1" applyAlignment="1">
      <alignment horizontal="centerContinuous"/>
    </xf>
    <xf numFmtId="0" fontId="2" fillId="5" borderId="22" xfId="0" applyFont="1" applyFill="1" applyBorder="1" applyAlignment="1">
      <alignment horizontal="center"/>
    </xf>
    <xf numFmtId="49" fontId="0" fillId="2" borderId="22" xfId="0" applyNumberFormat="1" applyFill="1" applyBorder="1" applyAlignment="1" applyProtection="1">
      <alignment horizontal="center"/>
      <protection locked="0"/>
    </xf>
    <xf numFmtId="49" fontId="0" fillId="2" borderId="23" xfId="0" applyNumberFormat="1" applyFill="1" applyBorder="1" applyAlignment="1" applyProtection="1">
      <alignment horizontal="center"/>
      <protection locked="0"/>
    </xf>
    <xf numFmtId="49" fontId="0" fillId="2" borderId="24" xfId="0" applyNumberFormat="1" applyFill="1" applyBorder="1" applyAlignment="1" applyProtection="1">
      <alignment horizontal="center"/>
      <protection locked="0"/>
    </xf>
    <xf numFmtId="49" fontId="14" fillId="2" borderId="1" xfId="0" applyNumberFormat="1" applyFont="1" applyFill="1" applyBorder="1" applyAlignment="1" applyProtection="1">
      <alignment horizontal="center"/>
      <protection locked="0"/>
    </xf>
    <xf numFmtId="164" fontId="14" fillId="2" borderId="1" xfId="0" applyNumberFormat="1" applyFont="1" applyFill="1" applyBorder="1" applyAlignment="1" applyProtection="1">
      <alignment horizontal="center"/>
      <protection locked="0"/>
    </xf>
    <xf numFmtId="0" fontId="12" fillId="5" borderId="4" xfId="0" applyFont="1" applyFill="1" applyBorder="1" applyAlignment="1"/>
    <xf numFmtId="0" fontId="12" fillId="5" borderId="5" xfId="0" applyFont="1" applyFill="1" applyBorder="1" applyAlignment="1">
      <alignment horizontal="centerContinuous"/>
    </xf>
    <xf numFmtId="0" fontId="14" fillId="5" borderId="3" xfId="0" applyFont="1" applyFill="1" applyBorder="1"/>
    <xf numFmtId="0" fontId="12" fillId="5" borderId="2" xfId="0" applyFont="1" applyFill="1" applyBorder="1" applyAlignment="1">
      <alignment horizontal="right"/>
    </xf>
    <xf numFmtId="0" fontId="12" fillId="5" borderId="17" xfId="0" applyFont="1" applyFill="1" applyBorder="1" applyAlignment="1">
      <alignment horizontal="centerContinuous"/>
    </xf>
    <xf numFmtId="49" fontId="14" fillId="2" borderId="22" xfId="0" applyNumberFormat="1" applyFont="1" applyFill="1" applyBorder="1" applyAlignment="1" applyProtection="1">
      <alignment horizontal="center"/>
      <protection locked="0"/>
    </xf>
    <xf numFmtId="0" fontId="12" fillId="5" borderId="6" xfId="0" applyFont="1" applyFill="1" applyBorder="1" applyAlignment="1">
      <alignment horizontal="right"/>
    </xf>
    <xf numFmtId="49" fontId="14" fillId="2" borderId="23" xfId="0" applyNumberFormat="1" applyFont="1" applyFill="1" applyBorder="1" applyAlignment="1" applyProtection="1">
      <alignment horizontal="center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0" fontId="12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center"/>
    </xf>
    <xf numFmtId="164" fontId="12" fillId="5" borderId="1" xfId="0" applyNumberFormat="1" applyFont="1" applyFill="1" applyBorder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64" fontId="12" fillId="4" borderId="1" xfId="0" applyNumberFormat="1" applyFont="1" applyFill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5" borderId="22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left"/>
    </xf>
    <xf numFmtId="0" fontId="0" fillId="5" borderId="2" xfId="0" applyFill="1" applyBorder="1" applyAlignment="1">
      <alignment horizontal="right"/>
    </xf>
    <xf numFmtId="0" fontId="6" fillId="5" borderId="1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right"/>
    </xf>
    <xf numFmtId="0" fontId="7" fillId="6" borderId="0" xfId="0" applyFont="1" applyFill="1" applyBorder="1" applyAlignment="1">
      <alignment horizontal="centerContinuous"/>
    </xf>
    <xf numFmtId="0" fontId="0" fillId="6" borderId="0" xfId="0" applyFill="1"/>
    <xf numFmtId="0" fontId="0" fillId="6" borderId="3" xfId="0" applyFill="1" applyBorder="1"/>
    <xf numFmtId="0" fontId="0" fillId="6" borderId="0" xfId="0" applyFill="1" applyBorder="1" applyAlignment="1">
      <alignment horizontal="center"/>
    </xf>
    <xf numFmtId="49" fontId="0" fillId="6" borderId="0" xfId="0" applyNumberFormat="1" applyFill="1"/>
    <xf numFmtId="164" fontId="0" fillId="6" borderId="0" xfId="0" applyNumberFormat="1" applyFill="1"/>
    <xf numFmtId="0" fontId="13" fillId="6" borderId="0" xfId="0" applyFont="1" applyFill="1"/>
    <xf numFmtId="0" fontId="2" fillId="6" borderId="0" xfId="0" applyFont="1" applyFill="1" applyAlignment="1">
      <alignment horizontal="centerContinuous" wrapText="1"/>
    </xf>
    <xf numFmtId="0" fontId="0" fillId="6" borderId="0" xfId="0" applyFill="1" applyAlignment="1">
      <alignment horizontal="centerContinuous"/>
    </xf>
    <xf numFmtId="0" fontId="11" fillId="6" borderId="0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2" fillId="6" borderId="0" xfId="0" applyFont="1" applyFill="1"/>
    <xf numFmtId="165" fontId="0" fillId="6" borderId="0" xfId="0" applyNumberFormat="1" applyFill="1"/>
    <xf numFmtId="0" fontId="0" fillId="6" borderId="0" xfId="0" applyFill="1" applyBorder="1"/>
    <xf numFmtId="0" fontId="7" fillId="6" borderId="0" xfId="0" applyFont="1" applyFill="1" applyBorder="1" applyAlignment="1">
      <alignment horizontal="center"/>
    </xf>
    <xf numFmtId="164" fontId="7" fillId="6" borderId="0" xfId="0" applyNumberFormat="1" applyFont="1" applyFill="1" applyBorder="1" applyAlignment="1">
      <alignment horizontal="center"/>
    </xf>
    <xf numFmtId="0" fontId="7" fillId="6" borderId="0" xfId="0" applyFont="1" applyFill="1" applyBorder="1"/>
    <xf numFmtId="0" fontId="7" fillId="6" borderId="0" xfId="0" applyFont="1" applyFill="1" applyBorder="1" applyAlignment="1">
      <alignment horizontal="right"/>
    </xf>
    <xf numFmtId="164" fontId="7" fillId="6" borderId="0" xfId="0" applyNumberFormat="1" applyFont="1" applyFill="1" applyBorder="1" applyAlignment="1">
      <alignment horizontal="left"/>
    </xf>
    <xf numFmtId="0" fontId="20" fillId="6" borderId="0" xfId="0" applyFont="1" applyFill="1" applyBorder="1"/>
    <xf numFmtId="0" fontId="24" fillId="6" borderId="0" xfId="0" applyFont="1" applyFill="1" applyBorder="1"/>
    <xf numFmtId="0" fontId="20" fillId="6" borderId="0" xfId="0" applyFont="1" applyFill="1"/>
    <xf numFmtId="0" fontId="24" fillId="6" borderId="0" xfId="0" applyFont="1" applyFill="1"/>
    <xf numFmtId="0" fontId="5" fillId="6" borderId="0" xfId="0" applyFont="1" applyFill="1" applyBorder="1"/>
    <xf numFmtId="0" fontId="5" fillId="6" borderId="0" xfId="0" applyFont="1" applyFill="1"/>
    <xf numFmtId="0" fontId="21" fillId="6" borderId="0" xfId="0" applyFont="1" applyFill="1" applyBorder="1" applyAlignment="1">
      <alignment horizontal="centerContinuous"/>
    </xf>
    <xf numFmtId="9" fontId="0" fillId="6" borderId="0" xfId="0" applyNumberFormat="1" applyFill="1"/>
    <xf numFmtId="0" fontId="4" fillId="6" borderId="0" xfId="0" applyFont="1" applyFill="1" applyBorder="1"/>
    <xf numFmtId="164" fontId="4" fillId="6" borderId="0" xfId="0" applyNumberFormat="1" applyFont="1" applyFill="1" applyBorder="1" applyAlignment="1">
      <alignment horizontal="center"/>
    </xf>
    <xf numFmtId="0" fontId="9" fillId="6" borderId="0" xfId="0" applyFont="1" applyFill="1" applyBorder="1" applyAlignment="1">
      <alignment horizontal="right"/>
    </xf>
    <xf numFmtId="164" fontId="9" fillId="6" borderId="0" xfId="0" applyNumberFormat="1" applyFont="1" applyFill="1" applyBorder="1" applyAlignment="1">
      <alignment horizontal="left"/>
    </xf>
    <xf numFmtId="0" fontId="10" fillId="6" borderId="0" xfId="0" applyFont="1" applyFill="1" applyBorder="1" applyAlignment="1">
      <alignment horizontal="right"/>
    </xf>
    <xf numFmtId="164" fontId="10" fillId="6" borderId="0" xfId="0" applyNumberFormat="1" applyFont="1" applyFill="1" applyBorder="1" applyAlignment="1">
      <alignment horizontal="left"/>
    </xf>
    <xf numFmtId="49" fontId="2" fillId="6" borderId="0" xfId="0" applyNumberFormat="1" applyFont="1" applyFill="1"/>
    <xf numFmtId="0" fontId="10" fillId="6" borderId="0" xfId="0" applyFont="1" applyFill="1" applyBorder="1" applyAlignment="1">
      <alignment vertical="center"/>
    </xf>
    <xf numFmtId="49" fontId="7" fillId="6" borderId="0" xfId="0" applyNumberFormat="1" applyFont="1" applyFill="1" applyBorder="1"/>
    <xf numFmtId="0" fontId="25" fillId="6" borderId="0" xfId="0" applyFont="1" applyFill="1" applyBorder="1"/>
    <xf numFmtId="0" fontId="26" fillId="6" borderId="0" xfId="0" applyFont="1" applyFill="1" applyBorder="1"/>
    <xf numFmtId="0" fontId="26" fillId="6" borderId="0" xfId="0" applyFont="1" applyFill="1"/>
    <xf numFmtId="0" fontId="14" fillId="6" borderId="0" xfId="0" applyFont="1" applyFill="1"/>
    <xf numFmtId="0" fontId="21" fillId="6" borderId="4" xfId="0" applyFont="1" applyFill="1" applyBorder="1" applyAlignment="1">
      <alignment horizontal="centerContinuous"/>
    </xf>
    <xf numFmtId="0" fontId="21" fillId="6" borderId="17" xfId="0" applyFont="1" applyFill="1" applyBorder="1" applyAlignment="1">
      <alignment horizontal="centerContinuous"/>
    </xf>
    <xf numFmtId="0" fontId="21" fillId="6" borderId="3" xfId="0" applyFont="1" applyFill="1" applyBorder="1" applyAlignment="1">
      <alignment horizontal="centerContinuous"/>
    </xf>
    <xf numFmtId="0" fontId="21" fillId="6" borderId="18" xfId="0" applyFont="1" applyFill="1" applyBorder="1" applyAlignment="1">
      <alignment horizontal="centerContinuous"/>
    </xf>
    <xf numFmtId="0" fontId="21" fillId="6" borderId="19" xfId="0" applyFont="1" applyFill="1" applyBorder="1" applyAlignment="1">
      <alignment horizontal="centerContinuous"/>
    </xf>
    <xf numFmtId="0" fontId="21" fillId="6" borderId="21" xfId="0" applyFont="1" applyFill="1" applyBorder="1" applyAlignment="1">
      <alignment horizontal="centerContinuous"/>
    </xf>
    <xf numFmtId="0" fontId="14" fillId="6" borderId="0" xfId="0" applyFont="1" applyFill="1" applyAlignment="1">
      <alignment horizontal="centerContinuous"/>
    </xf>
    <xf numFmtId="0" fontId="14" fillId="6" borderId="0" xfId="0" applyFont="1" applyFill="1" applyAlignment="1"/>
    <xf numFmtId="0" fontId="18" fillId="6" borderId="0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/>
    </xf>
    <xf numFmtId="49" fontId="14" fillId="6" borderId="1" xfId="0" applyNumberFormat="1" applyFont="1" applyFill="1" applyBorder="1" applyAlignment="1">
      <alignment horizontal="center"/>
    </xf>
    <xf numFmtId="0" fontId="14" fillId="6" borderId="0" xfId="0" applyFont="1" applyFill="1" applyBorder="1"/>
    <xf numFmtId="164" fontId="19" fillId="6" borderId="0" xfId="0" applyNumberFormat="1" applyFont="1" applyFill="1" applyBorder="1" applyAlignment="1">
      <alignment horizontal="center"/>
    </xf>
    <xf numFmtId="0" fontId="12" fillId="6" borderId="0" xfId="0" applyFont="1" applyFill="1" applyBorder="1" applyAlignment="1">
      <alignment horizontal="center"/>
    </xf>
    <xf numFmtId="164" fontId="12" fillId="6" borderId="0" xfId="0" applyNumberFormat="1" applyFont="1" applyFill="1" applyBorder="1" applyAlignment="1">
      <alignment horizontal="center"/>
    </xf>
    <xf numFmtId="0" fontId="12" fillId="6" borderId="0" xfId="0" applyFont="1" applyFill="1" applyBorder="1"/>
    <xf numFmtId="164" fontId="17" fillId="6" borderId="0" xfId="0" applyNumberFormat="1" applyFont="1" applyFill="1" applyBorder="1" applyAlignment="1">
      <alignment horizontal="right"/>
    </xf>
    <xf numFmtId="164" fontId="17" fillId="6" borderId="0" xfId="0" applyNumberFormat="1" applyFont="1" applyFill="1" applyBorder="1" applyAlignment="1">
      <alignment horizontal="left"/>
    </xf>
    <xf numFmtId="164" fontId="12" fillId="6" borderId="0" xfId="0" applyNumberFormat="1" applyFont="1" applyFill="1" applyBorder="1" applyAlignment="1">
      <alignment horizontal="left"/>
    </xf>
    <xf numFmtId="0" fontId="16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 wrapText="1"/>
    </xf>
    <xf numFmtId="0" fontId="16" fillId="6" borderId="0" xfId="0" applyFont="1" applyFill="1" applyBorder="1" applyAlignment="1" applyProtection="1">
      <alignment horizontal="center" vertical="center" wrapText="1"/>
    </xf>
    <xf numFmtId="49" fontId="16" fillId="6" borderId="0" xfId="0" applyNumberFormat="1" applyFont="1" applyFill="1" applyBorder="1"/>
    <xf numFmtId="164" fontId="16" fillId="6" borderId="0" xfId="0" applyNumberFormat="1" applyFont="1" applyFill="1" applyBorder="1" applyAlignment="1">
      <alignment horizontal="center"/>
    </xf>
    <xf numFmtId="164" fontId="16" fillId="6" borderId="0" xfId="0" applyNumberFormat="1" applyFont="1" applyFill="1" applyBorder="1" applyAlignment="1" applyProtection="1">
      <alignment horizontal="center"/>
    </xf>
    <xf numFmtId="164" fontId="22" fillId="6" borderId="0" xfId="0" applyNumberFormat="1" applyFont="1" applyFill="1" applyBorder="1"/>
    <xf numFmtId="164" fontId="15" fillId="6" borderId="0" xfId="0" applyNumberFormat="1" applyFont="1" applyFill="1" applyBorder="1" applyAlignment="1" applyProtection="1">
      <alignment horizontal="center"/>
    </xf>
    <xf numFmtId="0" fontId="23" fillId="6" borderId="0" xfId="0" applyFont="1" applyFill="1" applyBorder="1"/>
    <xf numFmtId="0" fontId="16" fillId="6" borderId="0" xfId="0" applyFont="1" applyFill="1" applyBorder="1"/>
    <xf numFmtId="0" fontId="21" fillId="6" borderId="0" xfId="0" applyFont="1" applyFill="1" applyAlignment="1">
      <alignment horizontal="left" vertical="center"/>
    </xf>
    <xf numFmtId="0" fontId="0" fillId="6" borderId="0" xfId="0" quotePrefix="1" applyFill="1"/>
    <xf numFmtId="0" fontId="3" fillId="6" borderId="0" xfId="0" applyFont="1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2" fillId="6" borderId="0" xfId="0" applyFont="1" applyFill="1" applyBorder="1"/>
    <xf numFmtId="0" fontId="33" fillId="6" borderId="0" xfId="0" applyFont="1" applyFill="1" applyBorder="1"/>
    <xf numFmtId="2" fontId="0" fillId="6" borderId="0" xfId="0" applyNumberFormat="1" applyFill="1"/>
    <xf numFmtId="0" fontId="10" fillId="6" borderId="0" xfId="0" applyFont="1" applyFill="1" applyBorder="1"/>
    <xf numFmtId="0" fontId="6" fillId="6" borderId="0" xfId="0" applyFont="1" applyFill="1" applyBorder="1"/>
    <xf numFmtId="0" fontId="28" fillId="6" borderId="0" xfId="1" applyFill="1" applyBorder="1" applyAlignment="1" applyProtection="1"/>
    <xf numFmtId="0" fontId="1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5" fillId="2" borderId="1" xfId="0" applyNumberFormat="1" applyFont="1" applyFill="1" applyBorder="1" applyAlignment="1" applyProtection="1">
      <alignment horizontal="center"/>
      <protection locked="0"/>
    </xf>
    <xf numFmtId="0" fontId="13" fillId="6" borderId="0" xfId="0" applyFont="1" applyFill="1" applyBorder="1"/>
    <xf numFmtId="0" fontId="13" fillId="6" borderId="0" xfId="0" applyFont="1" applyFill="1" applyBorder="1" applyAlignment="1">
      <alignment vertical="center" wrapText="1"/>
    </xf>
    <xf numFmtId="49" fontId="2" fillId="6" borderId="0" xfId="0" applyNumberFormat="1" applyFont="1" applyFill="1" applyBorder="1"/>
    <xf numFmtId="0" fontId="27" fillId="6" borderId="0" xfId="0" applyFont="1" applyFill="1" applyBorder="1"/>
    <xf numFmtId="0" fontId="2" fillId="6" borderId="0" xfId="0" applyFont="1" applyFill="1" applyBorder="1"/>
    <xf numFmtId="0" fontId="5" fillId="6" borderId="0" xfId="0" applyFont="1" applyFill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1" fillId="6" borderId="27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164" fontId="1" fillId="6" borderId="27" xfId="0" applyNumberFormat="1" applyFont="1" applyFill="1" applyBorder="1" applyAlignment="1">
      <alignment horizontal="center"/>
    </xf>
    <xf numFmtId="1" fontId="1" fillId="6" borderId="27" xfId="0" applyNumberFormat="1" applyFont="1" applyFill="1" applyBorder="1" applyAlignment="1">
      <alignment horizontal="center"/>
    </xf>
    <xf numFmtId="166" fontId="1" fillId="6" borderId="0" xfId="0" applyNumberFormat="1" applyFont="1" applyFill="1" applyBorder="1" applyAlignment="1">
      <alignment horizontal="center"/>
    </xf>
    <xf numFmtId="2" fontId="1" fillId="6" borderId="27" xfId="0" applyNumberFormat="1" applyFont="1" applyFill="1" applyBorder="1" applyAlignment="1">
      <alignment horizontal="center"/>
    </xf>
    <xf numFmtId="2" fontId="1" fillId="6" borderId="0" xfId="0" applyNumberFormat="1" applyFont="1" applyFill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164" fontId="1" fillId="6" borderId="26" xfId="0" applyNumberFormat="1" applyFont="1" applyFill="1" applyBorder="1" applyAlignment="1">
      <alignment horizontal="center"/>
    </xf>
    <xf numFmtId="0" fontId="37" fillId="6" borderId="1" xfId="0" applyFont="1" applyFill="1" applyBorder="1" applyAlignment="1">
      <alignment horizontal="center"/>
    </xf>
    <xf numFmtId="164" fontId="37" fillId="6" borderId="1" xfId="0" applyNumberFormat="1" applyFont="1" applyFill="1" applyBorder="1" applyAlignment="1">
      <alignment horizontal="center"/>
    </xf>
    <xf numFmtId="0" fontId="35" fillId="6" borderId="26" xfId="0" applyFont="1" applyFill="1" applyBorder="1" applyAlignment="1">
      <alignment horizontal="center"/>
    </xf>
    <xf numFmtId="164" fontId="35" fillId="6" borderId="0" xfId="0" applyNumberFormat="1" applyFont="1" applyFill="1" applyBorder="1" applyAlignment="1">
      <alignment horizontal="center"/>
    </xf>
    <xf numFmtId="164" fontId="35" fillId="6" borderId="26" xfId="0" applyNumberFormat="1" applyFont="1" applyFill="1" applyBorder="1" applyAlignment="1">
      <alignment horizontal="center"/>
    </xf>
    <xf numFmtId="0" fontId="35" fillId="6" borderId="27" xfId="0" applyFont="1" applyFill="1" applyBorder="1" applyAlignment="1">
      <alignment horizontal="center"/>
    </xf>
    <xf numFmtId="164" fontId="35" fillId="6" borderId="27" xfId="0" applyNumberFormat="1" applyFont="1" applyFill="1" applyBorder="1" applyAlignment="1">
      <alignment horizontal="center"/>
    </xf>
    <xf numFmtId="0" fontId="35" fillId="6" borderId="25" xfId="0" applyFont="1" applyFill="1" applyBorder="1" applyAlignment="1">
      <alignment horizontal="center"/>
    </xf>
    <xf numFmtId="164" fontId="35" fillId="6" borderId="11" xfId="0" applyNumberFormat="1" applyFont="1" applyFill="1" applyBorder="1" applyAlignment="1">
      <alignment horizontal="center"/>
    </xf>
    <xf numFmtId="2" fontId="36" fillId="6" borderId="27" xfId="0" applyNumberFormat="1" applyFont="1" applyFill="1" applyBorder="1" applyAlignment="1">
      <alignment horizontal="center"/>
    </xf>
    <xf numFmtId="2" fontId="36" fillId="6" borderId="25" xfId="0" applyNumberFormat="1" applyFont="1" applyFill="1" applyBorder="1" applyAlignment="1">
      <alignment horizontal="center"/>
    </xf>
    <xf numFmtId="0" fontId="37" fillId="6" borderId="15" xfId="0" applyFont="1" applyFill="1" applyBorder="1" applyAlignment="1">
      <alignment horizontal="center"/>
    </xf>
    <xf numFmtId="0" fontId="37" fillId="6" borderId="16" xfId="0" applyFont="1" applyFill="1" applyBorder="1" applyAlignment="1">
      <alignment horizontal="center"/>
    </xf>
    <xf numFmtId="0" fontId="35" fillId="6" borderId="8" xfId="0" applyFont="1" applyFill="1" applyBorder="1" applyAlignment="1">
      <alignment horizontal="center"/>
    </xf>
    <xf numFmtId="0" fontId="35" fillId="6" borderId="13" xfId="0" applyFont="1" applyFill="1" applyBorder="1" applyAlignment="1">
      <alignment horizontal="center"/>
    </xf>
    <xf numFmtId="0" fontId="35" fillId="6" borderId="9" xfId="0" applyFont="1" applyFill="1" applyBorder="1" applyAlignment="1">
      <alignment horizontal="center"/>
    </xf>
    <xf numFmtId="0" fontId="35" fillId="6" borderId="14" xfId="0" applyFont="1" applyFill="1" applyBorder="1" applyAlignment="1">
      <alignment horizontal="center"/>
    </xf>
    <xf numFmtId="164" fontId="35" fillId="6" borderId="13" xfId="0" applyNumberFormat="1" applyFont="1" applyFill="1" applyBorder="1" applyAlignment="1" applyProtection="1">
      <alignment horizontal="center"/>
      <protection locked="0"/>
    </xf>
    <xf numFmtId="164" fontId="35" fillId="6" borderId="13" xfId="0" applyNumberFormat="1" applyFont="1" applyFill="1" applyBorder="1" applyAlignment="1">
      <alignment horizontal="center"/>
    </xf>
    <xf numFmtId="164" fontId="35" fillId="6" borderId="14" xfId="0" applyNumberFormat="1" applyFont="1" applyFill="1" applyBorder="1" applyAlignment="1">
      <alignment horizontal="center"/>
    </xf>
    <xf numFmtId="0" fontId="0" fillId="6" borderId="4" xfId="0" applyFill="1" applyBorder="1"/>
    <xf numFmtId="0" fontId="31" fillId="6" borderId="5" xfId="0" applyFont="1" applyFill="1" applyBorder="1" applyAlignment="1">
      <alignment horizontal="centerContinuous"/>
    </xf>
    <xf numFmtId="0" fontId="6" fillId="6" borderId="5" xfId="0" applyFont="1" applyFill="1" applyBorder="1" applyAlignment="1">
      <alignment horizontal="centerContinuous"/>
    </xf>
    <xf numFmtId="0" fontId="0" fillId="6" borderId="17" xfId="0" applyFill="1" applyBorder="1"/>
    <xf numFmtId="0" fontId="31" fillId="6" borderId="0" xfId="0" applyFont="1" applyFill="1" applyBorder="1" applyAlignment="1">
      <alignment horizontal="centerContinuous"/>
    </xf>
    <xf numFmtId="0" fontId="6" fillId="6" borderId="0" xfId="0" applyFont="1" applyFill="1" applyBorder="1" applyAlignment="1">
      <alignment horizontal="centerContinuous"/>
    </xf>
    <xf numFmtId="0" fontId="0" fillId="6" borderId="18" xfId="0" applyFill="1" applyBorder="1"/>
    <xf numFmtId="0" fontId="0" fillId="6" borderId="19" xfId="0" applyFill="1" applyBorder="1"/>
    <xf numFmtId="0" fontId="31" fillId="6" borderId="20" xfId="0" applyFont="1" applyFill="1" applyBorder="1" applyAlignment="1">
      <alignment horizontal="centerContinuous"/>
    </xf>
    <xf numFmtId="0" fontId="6" fillId="6" borderId="20" xfId="0" applyFont="1" applyFill="1" applyBorder="1" applyAlignment="1">
      <alignment horizontal="centerContinuous"/>
    </xf>
    <xf numFmtId="0" fontId="0" fillId="6" borderId="21" xfId="0" applyFill="1" applyBorder="1"/>
    <xf numFmtId="49" fontId="0" fillId="6" borderId="17" xfId="0" applyNumberFormat="1" applyFill="1" applyBorder="1"/>
    <xf numFmtId="49" fontId="0" fillId="6" borderId="18" xfId="0" applyNumberFormat="1" applyFill="1" applyBorder="1"/>
    <xf numFmtId="0" fontId="0" fillId="6" borderId="0" xfId="0" applyNumberFormat="1" applyFill="1"/>
    <xf numFmtId="0" fontId="9" fillId="6" borderId="0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left"/>
    </xf>
    <xf numFmtId="164" fontId="9" fillId="6" borderId="0" xfId="0" applyNumberFormat="1" applyFont="1" applyFill="1" applyBorder="1" applyAlignment="1">
      <alignment horizontal="right"/>
    </xf>
    <xf numFmtId="164" fontId="0" fillId="6" borderId="0" xfId="0" applyNumberFormat="1" applyFill="1" applyBorder="1" applyAlignment="1">
      <alignment horizontal="center"/>
    </xf>
    <xf numFmtId="164" fontId="0" fillId="6" borderId="0" xfId="0" applyNumberFormat="1" applyFill="1" applyBorder="1" applyAlignment="1">
      <alignment horizontal="left"/>
    </xf>
    <xf numFmtId="164" fontId="0" fillId="6" borderId="0" xfId="0" applyNumberFormat="1" applyFill="1" applyBorder="1"/>
    <xf numFmtId="0" fontId="0" fillId="2" borderId="22" xfId="0" applyNumberFormat="1" applyFill="1" applyBorder="1" applyAlignment="1" applyProtection="1">
      <alignment horizontal="center"/>
      <protection locked="0"/>
    </xf>
    <xf numFmtId="0" fontId="0" fillId="2" borderId="23" xfId="0" applyNumberFormat="1" applyFill="1" applyBorder="1" applyAlignment="1" applyProtection="1">
      <alignment horizontal="center"/>
      <protection locked="0"/>
    </xf>
    <xf numFmtId="0" fontId="0" fillId="2" borderId="24" xfId="0" applyNumberFormat="1" applyFill="1" applyBorder="1" applyAlignment="1" applyProtection="1">
      <alignment horizontal="center"/>
      <protection locked="0"/>
    </xf>
    <xf numFmtId="0" fontId="13" fillId="4" borderId="1" xfId="0" applyFont="1" applyFill="1" applyBorder="1"/>
    <xf numFmtId="0" fontId="13" fillId="4" borderId="1" xfId="0" applyFont="1" applyFill="1" applyBorder="1" applyAlignment="1">
      <alignment horizontal="center"/>
    </xf>
    <xf numFmtId="164" fontId="13" fillId="4" borderId="1" xfId="0" applyNumberFormat="1" applyFont="1" applyFill="1" applyBorder="1" applyAlignment="1">
      <alignment horizontal="center"/>
    </xf>
    <xf numFmtId="0" fontId="35" fillId="6" borderId="0" xfId="0" applyFont="1" applyFill="1" applyBorder="1" applyAlignment="1">
      <alignment horizontal="center"/>
    </xf>
    <xf numFmtId="166" fontId="35" fillId="6" borderId="0" xfId="0" applyNumberFormat="1" applyFont="1" applyFill="1" applyBorder="1" applyAlignment="1">
      <alignment horizontal="center"/>
    </xf>
    <xf numFmtId="2" fontId="35" fillId="6" borderId="0" xfId="0" applyNumberFormat="1" applyFont="1" applyFill="1" applyBorder="1" applyAlignment="1">
      <alignment horizontal="center"/>
    </xf>
    <xf numFmtId="164" fontId="36" fillId="6" borderId="0" xfId="0" applyNumberFormat="1" applyFont="1" applyFill="1" applyBorder="1" applyAlignment="1">
      <alignment horizontal="center"/>
    </xf>
    <xf numFmtId="166" fontId="36" fillId="6" borderId="0" xfId="0" applyNumberFormat="1" applyFont="1" applyFill="1" applyBorder="1" applyAlignment="1">
      <alignment horizontal="center"/>
    </xf>
    <xf numFmtId="2" fontId="36" fillId="6" borderId="0" xfId="0" applyNumberFormat="1" applyFont="1" applyFill="1" applyBorder="1" applyAlignment="1">
      <alignment horizontal="center"/>
    </xf>
    <xf numFmtId="0" fontId="35" fillId="6" borderId="0" xfId="0" applyFont="1" applyFill="1" applyAlignment="1">
      <alignment horizontal="center"/>
    </xf>
    <xf numFmtId="0" fontId="35" fillId="6" borderId="0" xfId="0" applyFont="1" applyFill="1" applyBorder="1" applyAlignment="1">
      <alignment horizontal="center" vertical="center" wrapText="1"/>
    </xf>
    <xf numFmtId="0" fontId="35" fillId="6" borderId="11" xfId="0" applyFont="1" applyFill="1" applyBorder="1" applyAlignment="1">
      <alignment horizontal="center"/>
    </xf>
    <xf numFmtId="164" fontId="0" fillId="6" borderId="27" xfId="0" applyNumberFormat="1" applyFill="1" applyBorder="1" applyAlignment="1">
      <alignment horizontal="center"/>
    </xf>
    <xf numFmtId="164" fontId="0" fillId="6" borderId="25" xfId="0" applyNumberFormat="1" applyFill="1" applyBorder="1" applyAlignment="1">
      <alignment horizontal="center"/>
    </xf>
    <xf numFmtId="0" fontId="35" fillId="6" borderId="27" xfId="0" applyFont="1" applyFill="1" applyBorder="1" applyAlignment="1">
      <alignment horizontal="center" vertical="center" wrapText="1"/>
    </xf>
    <xf numFmtId="2" fontId="35" fillId="6" borderId="27" xfId="0" applyNumberFormat="1" applyFont="1" applyFill="1" applyBorder="1" applyAlignment="1">
      <alignment horizontal="center"/>
    </xf>
    <xf numFmtId="1" fontId="35" fillId="6" borderId="27" xfId="0" applyNumberFormat="1" applyFont="1" applyFill="1" applyBorder="1" applyAlignment="1">
      <alignment horizontal="center"/>
    </xf>
    <xf numFmtId="1" fontId="36" fillId="6" borderId="27" xfId="0" applyNumberFormat="1" applyFont="1" applyFill="1" applyBorder="1" applyAlignment="1">
      <alignment horizontal="center"/>
    </xf>
    <xf numFmtId="49" fontId="35" fillId="6" borderId="27" xfId="0" applyNumberFormat="1" applyFont="1" applyFill="1" applyBorder="1" applyAlignment="1">
      <alignment horizontal="center"/>
    </xf>
    <xf numFmtId="0" fontId="36" fillId="6" borderId="27" xfId="0" applyFont="1" applyFill="1" applyBorder="1" applyAlignment="1">
      <alignment horizontal="center"/>
    </xf>
    <xf numFmtId="0" fontId="29" fillId="6" borderId="0" xfId="0" applyFont="1" applyFill="1"/>
    <xf numFmtId="0" fontId="30" fillId="6" borderId="0" xfId="1" applyFont="1" applyFill="1" applyAlignment="1" applyProtection="1"/>
    <xf numFmtId="0" fontId="38" fillId="6" borderId="0" xfId="0" applyFont="1" applyFill="1"/>
    <xf numFmtId="0" fontId="40" fillId="6" borderId="0" xfId="0" applyFont="1" applyFill="1"/>
    <xf numFmtId="0" fontId="41" fillId="5" borderId="14" xfId="0" applyFont="1" applyFill="1" applyBorder="1" applyAlignment="1">
      <alignment horizontal="center"/>
    </xf>
    <xf numFmtId="0" fontId="40" fillId="5" borderId="7" xfId="0" applyFont="1" applyFill="1" applyBorder="1"/>
    <xf numFmtId="0" fontId="40" fillId="5" borderId="10" xfId="0" applyFont="1" applyFill="1" applyBorder="1"/>
    <xf numFmtId="0" fontId="40" fillId="5" borderId="12" xfId="0" applyFont="1" applyFill="1" applyBorder="1"/>
    <xf numFmtId="0" fontId="40" fillId="5" borderId="9" xfId="0" applyFont="1" applyFill="1" applyBorder="1"/>
    <xf numFmtId="0" fontId="40" fillId="5" borderId="11" xfId="0" applyFont="1" applyFill="1" applyBorder="1"/>
    <xf numFmtId="0" fontId="37" fillId="6" borderId="1" xfId="0" applyFont="1" applyFill="1" applyBorder="1"/>
    <xf numFmtId="0" fontId="35" fillId="6" borderId="1" xfId="0" applyFont="1" applyFill="1" applyBorder="1"/>
    <xf numFmtId="0" fontId="35" fillId="3" borderId="1" xfId="0" applyFont="1" applyFill="1" applyBorder="1" applyAlignment="1" applyProtection="1">
      <alignment horizontal="center"/>
      <protection locked="0"/>
    </xf>
    <xf numFmtId="0" fontId="5" fillId="2" borderId="22" xfId="0" applyNumberFormat="1" applyFont="1" applyFill="1" applyBorder="1" applyAlignment="1" applyProtection="1">
      <alignment horizontal="center"/>
      <protection locked="0"/>
    </xf>
    <xf numFmtId="0" fontId="13" fillId="6" borderId="0" xfId="0" applyFont="1" applyFill="1" applyAlignment="1">
      <alignment vertical="center"/>
    </xf>
    <xf numFmtId="0" fontId="2" fillId="6" borderId="0" xfId="0" applyFont="1" applyFill="1" applyAlignment="1">
      <alignment vertical="center"/>
    </xf>
    <xf numFmtId="0" fontId="44" fillId="5" borderId="0" xfId="0" applyFont="1" applyFill="1"/>
    <xf numFmtId="0" fontId="0" fillId="5" borderId="0" xfId="0" applyFill="1"/>
    <xf numFmtId="0" fontId="14" fillId="5" borderId="0" xfId="0" applyFont="1" applyFill="1"/>
    <xf numFmtId="0" fontId="45" fillId="5" borderId="0" xfId="0" applyFont="1" applyFill="1"/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164" fontId="38" fillId="6" borderId="26" xfId="0" applyNumberFormat="1" applyFont="1" applyFill="1" applyBorder="1" applyAlignment="1">
      <alignment horizontal="center"/>
    </xf>
    <xf numFmtId="164" fontId="38" fillId="6" borderId="27" xfId="0" applyNumberFormat="1" applyFont="1" applyFill="1" applyBorder="1" applyAlignment="1">
      <alignment horizontal="center"/>
    </xf>
    <xf numFmtId="164" fontId="38" fillId="6" borderId="25" xfId="0" applyNumberFormat="1" applyFont="1" applyFill="1" applyBorder="1" applyAlignment="1">
      <alignment horizontal="center"/>
    </xf>
    <xf numFmtId="0" fontId="46" fillId="6" borderId="0" xfId="0" applyFont="1" applyFill="1"/>
    <xf numFmtId="0" fontId="7" fillId="5" borderId="7" xfId="0" applyFont="1" applyFill="1" applyBorder="1" applyAlignment="1">
      <alignment horizontal="left"/>
    </xf>
    <xf numFmtId="0" fontId="7" fillId="5" borderId="10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164" fontId="7" fillId="5" borderId="9" xfId="0" applyNumberFormat="1" applyFont="1" applyFill="1" applyBorder="1" applyAlignment="1">
      <alignment horizontal="left"/>
    </xf>
    <xf numFmtId="164" fontId="7" fillId="5" borderId="11" xfId="0" applyNumberFormat="1" applyFont="1" applyFill="1" applyBorder="1" applyAlignment="1">
      <alignment horizontal="center"/>
    </xf>
    <xf numFmtId="164" fontId="7" fillId="5" borderId="14" xfId="0" applyNumberFormat="1" applyFont="1" applyFill="1" applyBorder="1" applyAlignment="1">
      <alignment horizontal="center"/>
    </xf>
    <xf numFmtId="0" fontId="31" fillId="6" borderId="4" xfId="0" applyFont="1" applyFill="1" applyBorder="1" applyAlignment="1">
      <alignment horizontal="centerContinuous"/>
    </xf>
    <xf numFmtId="0" fontId="6" fillId="6" borderId="17" xfId="0" applyFont="1" applyFill="1" applyBorder="1" applyAlignment="1">
      <alignment horizontal="centerContinuous"/>
    </xf>
    <xf numFmtId="0" fontId="31" fillId="6" borderId="3" xfId="0" applyFont="1" applyFill="1" applyBorder="1" applyAlignment="1">
      <alignment horizontal="centerContinuous"/>
    </xf>
    <xf numFmtId="0" fontId="6" fillId="6" borderId="18" xfId="0" applyFont="1" applyFill="1" applyBorder="1" applyAlignment="1">
      <alignment horizontal="centerContinuous"/>
    </xf>
    <xf numFmtId="0" fontId="31" fillId="6" borderId="19" xfId="0" applyFont="1" applyFill="1" applyBorder="1" applyAlignment="1">
      <alignment horizontal="centerContinuous"/>
    </xf>
    <xf numFmtId="0" fontId="6" fillId="6" borderId="21" xfId="0" applyFont="1" applyFill="1" applyBorder="1" applyAlignment="1">
      <alignment horizontal="centerContinuous"/>
    </xf>
    <xf numFmtId="0" fontId="5" fillId="6" borderId="0" xfId="0" quotePrefix="1" applyFont="1" applyFill="1"/>
    <xf numFmtId="0" fontId="28" fillId="6" borderId="0" xfId="1" applyFill="1" applyAlignment="1" applyProtection="1"/>
    <xf numFmtId="0" fontId="43" fillId="6" borderId="0" xfId="0" applyFont="1" applyFill="1" applyAlignment="1">
      <alignment horizontal="center"/>
    </xf>
    <xf numFmtId="0" fontId="34" fillId="6" borderId="0" xfId="0" applyFont="1" applyFill="1" applyAlignment="1">
      <alignment horizontal="center"/>
    </xf>
    <xf numFmtId="0" fontId="21" fillId="6" borderId="4" xfId="0" applyFont="1" applyFill="1" applyBorder="1" applyAlignment="1">
      <alignment horizontal="center"/>
    </xf>
    <xf numFmtId="0" fontId="21" fillId="6" borderId="17" xfId="0" applyFont="1" applyFill="1" applyBorder="1" applyAlignment="1">
      <alignment horizontal="center"/>
    </xf>
    <xf numFmtId="0" fontId="21" fillId="6" borderId="3" xfId="0" applyFont="1" applyFill="1" applyBorder="1" applyAlignment="1">
      <alignment horizontal="center"/>
    </xf>
    <xf numFmtId="0" fontId="21" fillId="6" borderId="18" xfId="0" applyFont="1" applyFill="1" applyBorder="1" applyAlignment="1">
      <alignment horizontal="center"/>
    </xf>
    <xf numFmtId="0" fontId="21" fillId="6" borderId="19" xfId="0" applyFont="1" applyFill="1" applyBorder="1" applyAlignment="1">
      <alignment horizontal="center"/>
    </xf>
    <xf numFmtId="0" fontId="21" fillId="6" borderId="21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FF"/>
      <color rgb="FF99CC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Graphique des effets moyens</a:t>
            </a:r>
          </a:p>
        </c:rich>
      </c:tx>
      <c:layout>
        <c:manualLayout>
          <c:xMode val="edge"/>
          <c:yMode val="edge"/>
          <c:x val="0.22694023506495731"/>
          <c:y val="4.53965833750549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452877085997234"/>
          <c:y val="0.1770212249480376"/>
          <c:w val="0.55503293796009212"/>
          <c:h val="0.51364677681185811"/>
        </c:manualLayout>
      </c:layout>
      <c:lineChart>
        <c:grouping val="standard"/>
        <c:ser>
          <c:idx val="0"/>
          <c:order val="0"/>
          <c:tx>
            <c:strRef>
              <c:f>'2fact 2niv'!$K$14</c:f>
              <c:strCache>
                <c:ptCount val="1"/>
                <c:pt idx="0">
                  <c:v>Facteur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'2fact 2niv'!$L$12:$P$13</c:f>
              <c:multiLvlStrCache>
                <c:ptCount val="5"/>
                <c:lvl>
                  <c:pt idx="0">
                    <c:v>Temp.</c:v>
                  </c:pt>
                  <c:pt idx="1">
                    <c:v>Temp.</c:v>
                  </c:pt>
                  <c:pt idx="3">
                    <c:v>Durée</c:v>
                  </c:pt>
                  <c:pt idx="4">
                    <c:v>Durée</c:v>
                  </c:pt>
                </c:lvl>
                <c:lvl>
                  <c:pt idx="0">
                    <c:v>75</c:v>
                  </c:pt>
                  <c:pt idx="1">
                    <c:v>85</c:v>
                  </c:pt>
                  <c:pt idx="2">
                    <c:v> </c:v>
                  </c:pt>
                  <c:pt idx="3">
                    <c:v>100</c:v>
                  </c:pt>
                  <c:pt idx="4">
                    <c:v>140</c:v>
                  </c:pt>
                </c:lvl>
              </c:multiLvlStrCache>
            </c:multiLvlStrRef>
          </c:cat>
          <c:val>
            <c:numRef>
              <c:f>'2fact 2niv'!$L$14:$P$14</c:f>
              <c:numCache>
                <c:formatCode>0.000</c:formatCode>
                <c:ptCount val="5"/>
                <c:pt idx="0">
                  <c:v>146</c:v>
                </c:pt>
                <c:pt idx="1">
                  <c:v>185.6</c:v>
                </c:pt>
                <c:pt idx="3">
                  <c:v>162</c:v>
                </c:pt>
                <c:pt idx="4">
                  <c:v>169.6</c:v>
                </c:pt>
              </c:numCache>
            </c:numRef>
          </c:val>
        </c:ser>
        <c:ser>
          <c:idx val="1"/>
          <c:order val="1"/>
          <c:tx>
            <c:strRef>
              <c:f>'2fact 2niv'!$K$15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multiLvlStrRef>
              <c:f>'2fact 2niv'!$L$12:$P$13</c:f>
              <c:multiLvlStrCache>
                <c:ptCount val="5"/>
                <c:lvl>
                  <c:pt idx="0">
                    <c:v>Temp.</c:v>
                  </c:pt>
                  <c:pt idx="1">
                    <c:v>Temp.</c:v>
                  </c:pt>
                  <c:pt idx="3">
                    <c:v>Durée</c:v>
                  </c:pt>
                  <c:pt idx="4">
                    <c:v>Durée</c:v>
                  </c:pt>
                </c:lvl>
                <c:lvl>
                  <c:pt idx="0">
                    <c:v>75</c:v>
                  </c:pt>
                  <c:pt idx="1">
                    <c:v>85</c:v>
                  </c:pt>
                  <c:pt idx="2">
                    <c:v> </c:v>
                  </c:pt>
                  <c:pt idx="3">
                    <c:v>100</c:v>
                  </c:pt>
                  <c:pt idx="4">
                    <c:v>140</c:v>
                  </c:pt>
                </c:lvl>
              </c:multiLvlStrCache>
            </c:multiLvlStrRef>
          </c:cat>
          <c:val>
            <c:numRef>
              <c:f>'2fact 2niv'!$L$15:$P$15</c:f>
              <c:numCache>
                <c:formatCode>General</c:formatCode>
                <c:ptCount val="5"/>
                <c:pt idx="0">
                  <c:v>165.8</c:v>
                </c:pt>
                <c:pt idx="1">
                  <c:v>165.8</c:v>
                </c:pt>
                <c:pt idx="2" formatCode="0.000">
                  <c:v>165.8</c:v>
                </c:pt>
                <c:pt idx="3">
                  <c:v>165.8</c:v>
                </c:pt>
                <c:pt idx="4">
                  <c:v>165.8</c:v>
                </c:pt>
              </c:numCache>
            </c:numRef>
          </c:val>
        </c:ser>
        <c:marker val="1"/>
        <c:axId val="58232832"/>
        <c:axId val="58234368"/>
      </c:lineChart>
      <c:catAx>
        <c:axId val="5823283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234368"/>
        <c:crossesAt val="0"/>
        <c:lblAlgn val="ctr"/>
        <c:lblOffset val="100"/>
        <c:tickLblSkip val="1"/>
        <c:tickMarkSkip val="1"/>
      </c:catAx>
      <c:valAx>
        <c:axId val="58234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</a:t>
                </a:r>
              </a:p>
            </c:rich>
          </c:tx>
          <c:layout>
            <c:manualLayout>
              <c:xMode val="edge"/>
              <c:yMode val="edge"/>
              <c:x val="2.9817519283620836E-2"/>
              <c:y val="0.34920470340995563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232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209849948002239"/>
          <c:y val="0.65557591067013188"/>
          <c:w val="0.2311326944980934"/>
          <c:h val="0.1565217391304360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 paperSize="9" orientation="landscape" horizontalDpi="360" verticalDpi="360" copies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Effets moyens</a:t>
            </a:r>
          </a:p>
        </c:rich>
      </c:tx>
      <c:layout>
        <c:manualLayout>
          <c:xMode val="edge"/>
          <c:yMode val="edge"/>
          <c:x val="0.44250229990800388"/>
          <c:y val="3.85604113110539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81627346814247"/>
          <c:y val="0.22365038560411313"/>
          <c:w val="0.85680056944743455"/>
          <c:h val="0.51413881748072165"/>
        </c:manualLayout>
      </c:layout>
      <c:lineChart>
        <c:grouping val="standard"/>
        <c:ser>
          <c:idx val="0"/>
          <c:order val="0"/>
          <c:tx>
            <c:strRef>
              <c:f>'5fact 2niv'!$O$8</c:f>
              <c:strCache>
                <c:ptCount val="1"/>
                <c:pt idx="0">
                  <c:v>Facteur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'5fact 2niv'!$P$6:$AC$7</c:f>
              <c:multiLvlStrCache>
                <c:ptCount val="14"/>
                <c:lvl>
                  <c:pt idx="0">
                    <c:v>A</c:v>
                  </c:pt>
                  <c:pt idx="1">
                    <c:v>A</c:v>
                  </c:pt>
                  <c:pt idx="3">
                    <c:v>B</c:v>
                  </c:pt>
                  <c:pt idx="4">
                    <c:v>B</c:v>
                  </c:pt>
                  <c:pt idx="6">
                    <c:v>C</c:v>
                  </c:pt>
                  <c:pt idx="7">
                    <c:v>C</c:v>
                  </c:pt>
                  <c:pt idx="9">
                    <c:v>D</c:v>
                  </c:pt>
                  <c:pt idx="10">
                    <c:v>D</c:v>
                  </c:pt>
                  <c:pt idx="12">
                    <c:v>E</c:v>
                  </c:pt>
                  <c:pt idx="13">
                    <c:v>E</c:v>
                  </c:pt>
                </c:lvl>
                <c:lvl>
                  <c:pt idx="0">
                    <c:v>A bas</c:v>
                  </c:pt>
                  <c:pt idx="1">
                    <c:v>A haut</c:v>
                  </c:pt>
                  <c:pt idx="2">
                    <c:v> </c:v>
                  </c:pt>
                  <c:pt idx="3">
                    <c:v>B inf</c:v>
                  </c:pt>
                  <c:pt idx="4">
                    <c:v>B sup</c:v>
                  </c:pt>
                  <c:pt idx="5">
                    <c:v> </c:v>
                  </c:pt>
                  <c:pt idx="6">
                    <c:v>C bas</c:v>
                  </c:pt>
                  <c:pt idx="7">
                    <c:v>C haut</c:v>
                  </c:pt>
                  <c:pt idx="8">
                    <c:v> </c:v>
                  </c:pt>
                  <c:pt idx="9">
                    <c:v>D faible</c:v>
                  </c:pt>
                  <c:pt idx="10">
                    <c:v>D fort</c:v>
                  </c:pt>
                  <c:pt idx="11">
                    <c:v> </c:v>
                  </c:pt>
                  <c:pt idx="12">
                    <c:v>E inf</c:v>
                  </c:pt>
                  <c:pt idx="13">
                    <c:v>E sup</c:v>
                  </c:pt>
                </c:lvl>
              </c:multiLvlStrCache>
            </c:multiLvlStrRef>
          </c:cat>
          <c:val>
            <c:numRef>
              <c:f>'5fact 2niv'!$P$8:$AC$8</c:f>
              <c:numCache>
                <c:formatCode>0.000</c:formatCode>
                <c:ptCount val="14"/>
                <c:pt idx="0">
                  <c:v>148.25</c:v>
                </c:pt>
                <c:pt idx="1">
                  <c:v>151.125</c:v>
                </c:pt>
                <c:pt idx="3">
                  <c:v>137.1875</c:v>
                </c:pt>
                <c:pt idx="4">
                  <c:v>162.1875</c:v>
                </c:pt>
                <c:pt idx="6">
                  <c:v>174.53125</c:v>
                </c:pt>
                <c:pt idx="7">
                  <c:v>124.84375</c:v>
                </c:pt>
                <c:pt idx="9">
                  <c:v>153.15625</c:v>
                </c:pt>
                <c:pt idx="10">
                  <c:v>146.21875</c:v>
                </c:pt>
                <c:pt idx="12">
                  <c:v>131.5</c:v>
                </c:pt>
                <c:pt idx="13">
                  <c:v>167.875</c:v>
                </c:pt>
              </c:numCache>
            </c:numRef>
          </c:val>
        </c:ser>
        <c:ser>
          <c:idx val="1"/>
          <c:order val="1"/>
          <c:tx>
            <c:strRef>
              <c:f>'5fact 2niv'!$O$9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none"/>
          </c:marker>
          <c:cat>
            <c:multiLvlStrRef>
              <c:f>'5fact 2niv'!$P$6:$AC$7</c:f>
              <c:multiLvlStrCache>
                <c:ptCount val="14"/>
                <c:lvl>
                  <c:pt idx="0">
                    <c:v>A</c:v>
                  </c:pt>
                  <c:pt idx="1">
                    <c:v>A</c:v>
                  </c:pt>
                  <c:pt idx="3">
                    <c:v>B</c:v>
                  </c:pt>
                  <c:pt idx="4">
                    <c:v>B</c:v>
                  </c:pt>
                  <c:pt idx="6">
                    <c:v>C</c:v>
                  </c:pt>
                  <c:pt idx="7">
                    <c:v>C</c:v>
                  </c:pt>
                  <c:pt idx="9">
                    <c:v>D</c:v>
                  </c:pt>
                  <c:pt idx="10">
                    <c:v>D</c:v>
                  </c:pt>
                  <c:pt idx="12">
                    <c:v>E</c:v>
                  </c:pt>
                  <c:pt idx="13">
                    <c:v>E</c:v>
                  </c:pt>
                </c:lvl>
                <c:lvl>
                  <c:pt idx="0">
                    <c:v>A bas</c:v>
                  </c:pt>
                  <c:pt idx="1">
                    <c:v>A haut</c:v>
                  </c:pt>
                  <c:pt idx="2">
                    <c:v> </c:v>
                  </c:pt>
                  <c:pt idx="3">
                    <c:v>B inf</c:v>
                  </c:pt>
                  <c:pt idx="4">
                    <c:v>B sup</c:v>
                  </c:pt>
                  <c:pt idx="5">
                    <c:v> </c:v>
                  </c:pt>
                  <c:pt idx="6">
                    <c:v>C bas</c:v>
                  </c:pt>
                  <c:pt idx="7">
                    <c:v>C haut</c:v>
                  </c:pt>
                  <c:pt idx="8">
                    <c:v> </c:v>
                  </c:pt>
                  <c:pt idx="9">
                    <c:v>D faible</c:v>
                  </c:pt>
                  <c:pt idx="10">
                    <c:v>D fort</c:v>
                  </c:pt>
                  <c:pt idx="11">
                    <c:v> </c:v>
                  </c:pt>
                  <c:pt idx="12">
                    <c:v>E inf</c:v>
                  </c:pt>
                  <c:pt idx="13">
                    <c:v>E sup</c:v>
                  </c:pt>
                </c:lvl>
              </c:multiLvlStrCache>
            </c:multiLvlStrRef>
          </c:cat>
          <c:val>
            <c:numRef>
              <c:f>'5fact 2niv'!$P$9:$AC$9</c:f>
              <c:numCache>
                <c:formatCode>0.000</c:formatCode>
                <c:ptCount val="14"/>
                <c:pt idx="0">
                  <c:v>149.6875</c:v>
                </c:pt>
                <c:pt idx="1">
                  <c:v>149.6875</c:v>
                </c:pt>
                <c:pt idx="2">
                  <c:v>149.6875</c:v>
                </c:pt>
                <c:pt idx="3">
                  <c:v>149.6875</c:v>
                </c:pt>
                <c:pt idx="4">
                  <c:v>149.6875</c:v>
                </c:pt>
                <c:pt idx="5">
                  <c:v>149.6875</c:v>
                </c:pt>
                <c:pt idx="6">
                  <c:v>149.6875</c:v>
                </c:pt>
                <c:pt idx="7">
                  <c:v>149.6875</c:v>
                </c:pt>
                <c:pt idx="8">
                  <c:v>149.6875</c:v>
                </c:pt>
                <c:pt idx="9">
                  <c:v>149.6875</c:v>
                </c:pt>
                <c:pt idx="10">
                  <c:v>149.6875</c:v>
                </c:pt>
                <c:pt idx="11">
                  <c:v>149.6875</c:v>
                </c:pt>
                <c:pt idx="12">
                  <c:v>149.6875</c:v>
                </c:pt>
                <c:pt idx="13">
                  <c:v>149.6875</c:v>
                </c:pt>
              </c:numCache>
            </c:numRef>
          </c:val>
        </c:ser>
        <c:marker val="1"/>
        <c:axId val="57605504"/>
        <c:axId val="57615488"/>
      </c:lineChart>
      <c:catAx>
        <c:axId val="576055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615488"/>
        <c:crosses val="autoZero"/>
        <c:lblAlgn val="ctr"/>
        <c:lblOffset val="100"/>
        <c:tickLblSkip val="1"/>
        <c:tickMarkSkip val="1"/>
      </c:catAx>
      <c:valAx>
        <c:axId val="57615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655933762649494E-2"/>
              <c:y val="0.38560411311053988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6055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948494133725108"/>
          <c:y val="5.6555269922879167E-2"/>
          <c:w val="0.11499540018399269"/>
          <c:h val="0.120822622107969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A</a:t>
            </a:r>
          </a:p>
        </c:rich>
      </c:tx>
      <c:layout>
        <c:manualLayout>
          <c:xMode val="edge"/>
          <c:yMode val="edge"/>
          <c:x val="0.36177148347817212"/>
          <c:y val="3.71352785145891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3952595269334763E-2"/>
          <c:y val="0.1618204730128967"/>
          <c:w val="0.72138314528638636"/>
          <c:h val="0.63314261305129693"/>
        </c:manualLayout>
      </c:layout>
      <c:lineChart>
        <c:grouping val="standard"/>
        <c:ser>
          <c:idx val="0"/>
          <c:order val="0"/>
          <c:tx>
            <c:strRef>
              <c:f>'5fact 2niv'!$P$21:$P$22</c:f>
              <c:strCache>
                <c:ptCount val="1"/>
                <c:pt idx="0">
                  <c:v>A A bas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'5fact 2niv'!$N$23:$O$33</c:f>
              <c:multiLvlStrCache>
                <c:ptCount val="11"/>
                <c:lvl>
                  <c:pt idx="0">
                    <c:v>B</c:v>
                  </c:pt>
                  <c:pt idx="1">
                    <c:v>B</c:v>
                  </c:pt>
                  <c:pt idx="3">
                    <c:v>C</c:v>
                  </c:pt>
                  <c:pt idx="4">
                    <c:v>C</c:v>
                  </c:pt>
                  <c:pt idx="6">
                    <c:v>D</c:v>
                  </c:pt>
                  <c:pt idx="7">
                    <c:v>D</c:v>
                  </c:pt>
                  <c:pt idx="9">
                    <c:v>E</c:v>
                  </c:pt>
                  <c:pt idx="10">
                    <c:v>E</c:v>
                  </c:pt>
                </c:lvl>
                <c:lvl>
                  <c:pt idx="0">
                    <c:v>B inf</c:v>
                  </c:pt>
                  <c:pt idx="1">
                    <c:v>B sup</c:v>
                  </c:pt>
                  <c:pt idx="2">
                    <c:v> </c:v>
                  </c:pt>
                  <c:pt idx="3">
                    <c:v>C bas</c:v>
                  </c:pt>
                  <c:pt idx="4">
                    <c:v>C haut</c:v>
                  </c:pt>
                  <c:pt idx="5">
                    <c:v> </c:v>
                  </c:pt>
                  <c:pt idx="6">
                    <c:v>D faible</c:v>
                  </c:pt>
                  <c:pt idx="7">
                    <c:v>D fort</c:v>
                  </c:pt>
                  <c:pt idx="8">
                    <c:v> </c:v>
                  </c:pt>
                  <c:pt idx="9">
                    <c:v>E inf</c:v>
                  </c:pt>
                  <c:pt idx="10">
                    <c:v>E sup</c:v>
                  </c:pt>
                </c:lvl>
              </c:multiLvlStrCache>
            </c:multiLvlStrRef>
          </c:cat>
          <c:val>
            <c:numRef>
              <c:f>'5fact 2niv'!$P$23:$P$33</c:f>
              <c:numCache>
                <c:formatCode>0.0</c:formatCode>
                <c:ptCount val="11"/>
                <c:pt idx="0">
                  <c:v>134</c:v>
                </c:pt>
                <c:pt idx="1">
                  <c:v>162.5</c:v>
                </c:pt>
                <c:pt idx="3">
                  <c:v>172.25</c:v>
                </c:pt>
                <c:pt idx="4">
                  <c:v>124.25</c:v>
                </c:pt>
                <c:pt idx="6">
                  <c:v>149.5</c:v>
                </c:pt>
                <c:pt idx="7">
                  <c:v>147</c:v>
                </c:pt>
                <c:pt idx="9">
                  <c:v>128</c:v>
                </c:pt>
                <c:pt idx="10">
                  <c:v>168.5</c:v>
                </c:pt>
              </c:numCache>
            </c:numRef>
          </c:val>
        </c:ser>
        <c:ser>
          <c:idx val="1"/>
          <c:order val="1"/>
          <c:tx>
            <c:strRef>
              <c:f>'5fact 2niv'!$Q$21:$Q$22</c:f>
              <c:strCache>
                <c:ptCount val="1"/>
                <c:pt idx="0">
                  <c:v>A A haut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'5fact 2niv'!$N$23:$O$33</c:f>
              <c:multiLvlStrCache>
                <c:ptCount val="11"/>
                <c:lvl>
                  <c:pt idx="0">
                    <c:v>B</c:v>
                  </c:pt>
                  <c:pt idx="1">
                    <c:v>B</c:v>
                  </c:pt>
                  <c:pt idx="3">
                    <c:v>C</c:v>
                  </c:pt>
                  <c:pt idx="4">
                    <c:v>C</c:v>
                  </c:pt>
                  <c:pt idx="6">
                    <c:v>D</c:v>
                  </c:pt>
                  <c:pt idx="7">
                    <c:v>D</c:v>
                  </c:pt>
                  <c:pt idx="9">
                    <c:v>E</c:v>
                  </c:pt>
                  <c:pt idx="10">
                    <c:v>E</c:v>
                  </c:pt>
                </c:lvl>
                <c:lvl>
                  <c:pt idx="0">
                    <c:v>B inf</c:v>
                  </c:pt>
                  <c:pt idx="1">
                    <c:v>B sup</c:v>
                  </c:pt>
                  <c:pt idx="2">
                    <c:v> </c:v>
                  </c:pt>
                  <c:pt idx="3">
                    <c:v>C bas</c:v>
                  </c:pt>
                  <c:pt idx="4">
                    <c:v>C haut</c:v>
                  </c:pt>
                  <c:pt idx="5">
                    <c:v> </c:v>
                  </c:pt>
                  <c:pt idx="6">
                    <c:v>D faible</c:v>
                  </c:pt>
                  <c:pt idx="7">
                    <c:v>D fort</c:v>
                  </c:pt>
                  <c:pt idx="8">
                    <c:v> </c:v>
                  </c:pt>
                  <c:pt idx="9">
                    <c:v>E inf</c:v>
                  </c:pt>
                  <c:pt idx="10">
                    <c:v>E sup</c:v>
                  </c:pt>
                </c:lvl>
              </c:multiLvlStrCache>
            </c:multiLvlStrRef>
          </c:cat>
          <c:val>
            <c:numRef>
              <c:f>'5fact 2niv'!$Q$23:$Q$33</c:f>
              <c:numCache>
                <c:formatCode>0.0</c:formatCode>
                <c:ptCount val="11"/>
                <c:pt idx="0">
                  <c:v>140.375</c:v>
                </c:pt>
                <c:pt idx="1">
                  <c:v>161.875</c:v>
                </c:pt>
                <c:pt idx="3">
                  <c:v>176.8125</c:v>
                </c:pt>
                <c:pt idx="4">
                  <c:v>125.4375</c:v>
                </c:pt>
                <c:pt idx="6">
                  <c:v>156.8125</c:v>
                </c:pt>
                <c:pt idx="7">
                  <c:v>145.4375</c:v>
                </c:pt>
                <c:pt idx="9">
                  <c:v>135</c:v>
                </c:pt>
                <c:pt idx="10">
                  <c:v>167.25</c:v>
                </c:pt>
              </c:numCache>
            </c:numRef>
          </c:val>
        </c:ser>
        <c:marker val="1"/>
        <c:axId val="57697024"/>
        <c:axId val="57698944"/>
      </c:lineChart>
      <c:catAx>
        <c:axId val="5769702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698944"/>
        <c:crosses val="autoZero"/>
        <c:lblAlgn val="ctr"/>
        <c:lblOffset val="100"/>
        <c:tickLblSkip val="1"/>
        <c:tickMarkSkip val="1"/>
      </c:catAx>
      <c:valAx>
        <c:axId val="57698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9438444924406047E-2"/>
              <c:y val="0.38461608081483523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6970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637248232739804"/>
          <c:y val="0.42440387922332162"/>
          <c:w val="0.13066968815723196"/>
          <c:h val="0.124668783112986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B</a:t>
            </a:r>
          </a:p>
        </c:rich>
      </c:tx>
      <c:layout>
        <c:manualLayout>
          <c:xMode val="edge"/>
          <c:yMode val="edge"/>
          <c:x val="0.34554366601610675"/>
          <c:y val="3.86597938144329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62271853918542"/>
          <c:y val="0.16590952458952724"/>
          <c:w val="0.69475021250534985"/>
          <c:h val="0.62696666402108803"/>
        </c:manualLayout>
      </c:layout>
      <c:lineChart>
        <c:grouping val="standard"/>
        <c:ser>
          <c:idx val="0"/>
          <c:order val="0"/>
          <c:tx>
            <c:strRef>
              <c:f>'5fact 2niv'!$P$36:$P$37</c:f>
              <c:strCache>
                <c:ptCount val="1"/>
                <c:pt idx="0">
                  <c:v>B B inf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'5fact 2niv'!$N$38:$O$45</c:f>
              <c:multiLvlStrCache>
                <c:ptCount val="8"/>
                <c:lvl>
                  <c:pt idx="0">
                    <c:v>C</c:v>
                  </c:pt>
                  <c:pt idx="1">
                    <c:v>C</c:v>
                  </c:pt>
                  <c:pt idx="3">
                    <c:v>D</c:v>
                  </c:pt>
                  <c:pt idx="4">
                    <c:v>D</c:v>
                  </c:pt>
                  <c:pt idx="6">
                    <c:v>E</c:v>
                  </c:pt>
                  <c:pt idx="7">
                    <c:v>E</c:v>
                  </c:pt>
                </c:lvl>
                <c:lvl>
                  <c:pt idx="0">
                    <c:v>C bas</c:v>
                  </c:pt>
                  <c:pt idx="1">
                    <c:v>C haut</c:v>
                  </c:pt>
                  <c:pt idx="2">
                    <c:v> </c:v>
                  </c:pt>
                  <c:pt idx="3">
                    <c:v>D faible</c:v>
                  </c:pt>
                  <c:pt idx="4">
                    <c:v>D fort</c:v>
                  </c:pt>
                  <c:pt idx="5">
                    <c:v> </c:v>
                  </c:pt>
                  <c:pt idx="6">
                    <c:v>E inf</c:v>
                  </c:pt>
                  <c:pt idx="7">
                    <c:v>E sup</c:v>
                  </c:pt>
                </c:lvl>
              </c:multiLvlStrCache>
            </c:multiLvlStrRef>
          </c:cat>
          <c:val>
            <c:numRef>
              <c:f>'5fact 2niv'!$P$38:$P$45</c:f>
              <c:numCache>
                <c:formatCode>0.0</c:formatCode>
                <c:ptCount val="8"/>
                <c:pt idx="0">
                  <c:v>161.125</c:v>
                </c:pt>
                <c:pt idx="1">
                  <c:v>113.25</c:v>
                </c:pt>
                <c:pt idx="3">
                  <c:v>137.5625</c:v>
                </c:pt>
                <c:pt idx="4">
                  <c:v>136.8125</c:v>
                </c:pt>
                <c:pt idx="6">
                  <c:v>117.375</c:v>
                </c:pt>
                <c:pt idx="7">
                  <c:v>157</c:v>
                </c:pt>
              </c:numCache>
            </c:numRef>
          </c:val>
        </c:ser>
        <c:ser>
          <c:idx val="1"/>
          <c:order val="1"/>
          <c:tx>
            <c:strRef>
              <c:f>'5fact 2niv'!$Q$36:$Q$37</c:f>
              <c:strCache>
                <c:ptCount val="1"/>
                <c:pt idx="0">
                  <c:v>B B sup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'5fact 2niv'!$N$38:$O$45</c:f>
              <c:multiLvlStrCache>
                <c:ptCount val="8"/>
                <c:lvl>
                  <c:pt idx="0">
                    <c:v>C</c:v>
                  </c:pt>
                  <c:pt idx="1">
                    <c:v>C</c:v>
                  </c:pt>
                  <c:pt idx="3">
                    <c:v>D</c:v>
                  </c:pt>
                  <c:pt idx="4">
                    <c:v>D</c:v>
                  </c:pt>
                  <c:pt idx="6">
                    <c:v>E</c:v>
                  </c:pt>
                  <c:pt idx="7">
                    <c:v>E</c:v>
                  </c:pt>
                </c:lvl>
                <c:lvl>
                  <c:pt idx="0">
                    <c:v>C bas</c:v>
                  </c:pt>
                  <c:pt idx="1">
                    <c:v>C haut</c:v>
                  </c:pt>
                  <c:pt idx="2">
                    <c:v> </c:v>
                  </c:pt>
                  <c:pt idx="3">
                    <c:v>D faible</c:v>
                  </c:pt>
                  <c:pt idx="4">
                    <c:v>D fort</c:v>
                  </c:pt>
                  <c:pt idx="5">
                    <c:v> </c:v>
                  </c:pt>
                  <c:pt idx="6">
                    <c:v>E inf</c:v>
                  </c:pt>
                  <c:pt idx="7">
                    <c:v>E sup</c:v>
                  </c:pt>
                </c:lvl>
              </c:multiLvlStrCache>
            </c:multiLvlStrRef>
          </c:cat>
          <c:val>
            <c:numRef>
              <c:f>'5fact 2niv'!$Q$38:$Q$45</c:f>
              <c:numCache>
                <c:formatCode>0.0</c:formatCode>
                <c:ptCount val="8"/>
                <c:pt idx="0">
                  <c:v>187.9375</c:v>
                </c:pt>
                <c:pt idx="1">
                  <c:v>136.4375</c:v>
                </c:pt>
                <c:pt idx="3">
                  <c:v>168.75</c:v>
                </c:pt>
                <c:pt idx="4">
                  <c:v>155.625</c:v>
                </c:pt>
                <c:pt idx="6">
                  <c:v>145.625</c:v>
                </c:pt>
                <c:pt idx="7">
                  <c:v>178.75</c:v>
                </c:pt>
              </c:numCache>
            </c:numRef>
          </c:val>
        </c:ser>
        <c:marker val="1"/>
        <c:axId val="57719808"/>
        <c:axId val="57721984"/>
      </c:lineChart>
      <c:catAx>
        <c:axId val="5771980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721984"/>
        <c:crosses val="autoZero"/>
        <c:lblAlgn val="ctr"/>
        <c:lblOffset val="100"/>
        <c:tickLblSkip val="1"/>
        <c:tickMarkSkip val="1"/>
      </c:catAx>
      <c:valAx>
        <c:axId val="57721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197802197802199E-2"/>
              <c:y val="0.38917694888654603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7198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371248465736659"/>
          <c:y val="0.42268210352572061"/>
          <c:w val="0.14163630187252363"/>
          <c:h val="0.121134358849473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C</a:t>
            </a:r>
          </a:p>
        </c:rich>
      </c:tx>
      <c:layout>
        <c:manualLayout>
          <c:xMode val="edge"/>
          <c:yMode val="edge"/>
          <c:x val="0.31494920174165691"/>
          <c:y val="4.379562043795663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016481830158919"/>
          <c:y val="0.19875424579280643"/>
          <c:w val="0.646322665582718"/>
          <c:h val="0.54540730662343673"/>
        </c:manualLayout>
      </c:layout>
      <c:lineChart>
        <c:grouping val="standard"/>
        <c:ser>
          <c:idx val="0"/>
          <c:order val="0"/>
          <c:tx>
            <c:strRef>
              <c:f>'5fact 2niv'!$P$48:$P$49</c:f>
              <c:strCache>
                <c:ptCount val="1"/>
                <c:pt idx="0">
                  <c:v>C C bas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'5fact 2niv'!$N$50:$O$54</c:f>
              <c:multiLvlStrCache>
                <c:ptCount val="5"/>
                <c:lvl>
                  <c:pt idx="0">
                    <c:v>D</c:v>
                  </c:pt>
                  <c:pt idx="1">
                    <c:v>D</c:v>
                  </c:pt>
                  <c:pt idx="3">
                    <c:v>E</c:v>
                  </c:pt>
                  <c:pt idx="4">
                    <c:v>E</c:v>
                  </c:pt>
                </c:lvl>
                <c:lvl>
                  <c:pt idx="0">
                    <c:v>D faible</c:v>
                  </c:pt>
                  <c:pt idx="1">
                    <c:v>D fort</c:v>
                  </c:pt>
                  <c:pt idx="2">
                    <c:v> </c:v>
                  </c:pt>
                  <c:pt idx="3">
                    <c:v>E inf</c:v>
                  </c:pt>
                  <c:pt idx="4">
                    <c:v>E sup</c:v>
                  </c:pt>
                </c:lvl>
              </c:multiLvlStrCache>
            </c:multiLvlStrRef>
          </c:cat>
          <c:val>
            <c:numRef>
              <c:f>'5fact 2niv'!$P$50:$P$54</c:f>
              <c:numCache>
                <c:formatCode>General</c:formatCode>
                <c:ptCount val="5"/>
                <c:pt idx="0">
                  <c:v>175.875</c:v>
                </c:pt>
                <c:pt idx="1">
                  <c:v>173.1875</c:v>
                </c:pt>
                <c:pt idx="3">
                  <c:v>154.75</c:v>
                </c:pt>
                <c:pt idx="4">
                  <c:v>194.3125</c:v>
                </c:pt>
              </c:numCache>
            </c:numRef>
          </c:val>
        </c:ser>
        <c:ser>
          <c:idx val="1"/>
          <c:order val="1"/>
          <c:tx>
            <c:strRef>
              <c:f>'5fact 2niv'!$Q$48:$Q$49</c:f>
              <c:strCache>
                <c:ptCount val="1"/>
                <c:pt idx="0">
                  <c:v>C C haut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'5fact 2niv'!$N$50:$O$54</c:f>
              <c:multiLvlStrCache>
                <c:ptCount val="5"/>
                <c:lvl>
                  <c:pt idx="0">
                    <c:v>D</c:v>
                  </c:pt>
                  <c:pt idx="1">
                    <c:v>D</c:v>
                  </c:pt>
                  <c:pt idx="3">
                    <c:v>E</c:v>
                  </c:pt>
                  <c:pt idx="4">
                    <c:v>E</c:v>
                  </c:pt>
                </c:lvl>
                <c:lvl>
                  <c:pt idx="0">
                    <c:v>D faible</c:v>
                  </c:pt>
                  <c:pt idx="1">
                    <c:v>D fort</c:v>
                  </c:pt>
                  <c:pt idx="2">
                    <c:v> </c:v>
                  </c:pt>
                  <c:pt idx="3">
                    <c:v>E inf</c:v>
                  </c:pt>
                  <c:pt idx="4">
                    <c:v>E sup</c:v>
                  </c:pt>
                </c:lvl>
              </c:multiLvlStrCache>
            </c:multiLvlStrRef>
          </c:cat>
          <c:val>
            <c:numRef>
              <c:f>'5fact 2niv'!$Q$50:$Q$54</c:f>
              <c:numCache>
                <c:formatCode>General</c:formatCode>
                <c:ptCount val="5"/>
                <c:pt idx="0">
                  <c:v>130.4375</c:v>
                </c:pt>
                <c:pt idx="1">
                  <c:v>119.25</c:v>
                </c:pt>
                <c:pt idx="3">
                  <c:v>108.25</c:v>
                </c:pt>
                <c:pt idx="4">
                  <c:v>141.4375</c:v>
                </c:pt>
              </c:numCache>
            </c:numRef>
          </c:val>
        </c:ser>
        <c:marker val="1"/>
        <c:axId val="57742848"/>
        <c:axId val="57744768"/>
      </c:lineChart>
      <c:catAx>
        <c:axId val="5774284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744768"/>
        <c:crosses val="autoZero"/>
        <c:lblAlgn val="ctr"/>
        <c:lblOffset val="100"/>
        <c:tickLblSkip val="1"/>
        <c:tickMarkSkip val="1"/>
      </c:catAx>
      <c:valAx>
        <c:axId val="57744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6124818577648791E-2"/>
              <c:y val="0.32846859014886376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742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277213352685063"/>
          <c:y val="0.37591384562331182"/>
          <c:w val="0.16981132075471692"/>
          <c:h val="0.186132344770773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D E</a:t>
            </a:r>
          </a:p>
        </c:rich>
      </c:tx>
      <c:layout>
        <c:manualLayout>
          <c:xMode val="edge"/>
          <c:yMode val="edge"/>
          <c:x val="0.37943308948083632"/>
          <c:y val="4.11392405063290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976142277325356"/>
          <c:y val="0.16114202133880987"/>
          <c:w val="0.54428192105887963"/>
          <c:h val="0.58486678540522274"/>
        </c:manualLayout>
      </c:layout>
      <c:lineChart>
        <c:grouping val="standard"/>
        <c:ser>
          <c:idx val="0"/>
          <c:order val="0"/>
          <c:tx>
            <c:strRef>
              <c:f>'5fact 2niv'!$P$64:$P$65</c:f>
              <c:strCache>
                <c:ptCount val="1"/>
                <c:pt idx="0">
                  <c:v>D D faible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'5fact 2niv'!$N$66:$O$67</c:f>
              <c:multiLvlStrCache>
                <c:ptCount val="2"/>
                <c:lvl>
                  <c:pt idx="0">
                    <c:v>E</c:v>
                  </c:pt>
                  <c:pt idx="1">
                    <c:v>E</c:v>
                  </c:pt>
                </c:lvl>
                <c:lvl>
                  <c:pt idx="0">
                    <c:v>E inf</c:v>
                  </c:pt>
                  <c:pt idx="1">
                    <c:v>E sup</c:v>
                  </c:pt>
                </c:lvl>
              </c:multiLvlStrCache>
            </c:multiLvlStrRef>
          </c:cat>
          <c:val>
            <c:numRef>
              <c:f>'5fact 2niv'!$P$66:$P$67</c:f>
              <c:numCache>
                <c:formatCode>0.0</c:formatCode>
                <c:ptCount val="2"/>
                <c:pt idx="0">
                  <c:v>130.5625</c:v>
                </c:pt>
                <c:pt idx="1">
                  <c:v>175.75</c:v>
                </c:pt>
              </c:numCache>
            </c:numRef>
          </c:val>
        </c:ser>
        <c:ser>
          <c:idx val="1"/>
          <c:order val="1"/>
          <c:tx>
            <c:strRef>
              <c:f>'5fact 2niv'!$Q$64:$Q$65</c:f>
              <c:strCache>
                <c:ptCount val="1"/>
                <c:pt idx="0">
                  <c:v>D D fort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'5fact 2niv'!$N$66:$O$67</c:f>
              <c:multiLvlStrCache>
                <c:ptCount val="2"/>
                <c:lvl>
                  <c:pt idx="0">
                    <c:v>E</c:v>
                  </c:pt>
                  <c:pt idx="1">
                    <c:v>E</c:v>
                  </c:pt>
                </c:lvl>
                <c:lvl>
                  <c:pt idx="0">
                    <c:v>E inf</c:v>
                  </c:pt>
                  <c:pt idx="1">
                    <c:v>E sup</c:v>
                  </c:pt>
                </c:lvl>
              </c:multiLvlStrCache>
            </c:multiLvlStrRef>
          </c:cat>
          <c:val>
            <c:numRef>
              <c:f>'5fact 2niv'!$Q$66:$Q$67</c:f>
              <c:numCache>
                <c:formatCode>0.0</c:formatCode>
                <c:ptCount val="2"/>
                <c:pt idx="0">
                  <c:v>132.4375</c:v>
                </c:pt>
                <c:pt idx="1">
                  <c:v>160</c:v>
                </c:pt>
              </c:numCache>
            </c:numRef>
          </c:val>
        </c:ser>
        <c:marker val="1"/>
        <c:axId val="57782272"/>
        <c:axId val="57784192"/>
      </c:lineChart>
      <c:catAx>
        <c:axId val="5778227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784192"/>
        <c:crosses val="autoZero"/>
        <c:lblAlgn val="ctr"/>
        <c:lblOffset val="100"/>
        <c:tickLblSkip val="1"/>
        <c:tickMarkSkip val="1"/>
      </c:catAx>
      <c:valAx>
        <c:axId val="57784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3.1914893617021281E-2"/>
              <c:y val="0.34177256719492616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7822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709312931628225"/>
          <c:y val="0.3765826937772066"/>
          <c:w val="0.22517753764821855"/>
          <c:h val="0.161392820359480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Effets moyens</a:t>
            </a:r>
          </a:p>
        </c:rich>
      </c:tx>
      <c:layout>
        <c:manualLayout>
          <c:xMode val="edge"/>
          <c:yMode val="edge"/>
          <c:x val="0.44707919130769336"/>
          <c:y val="3.816793893129770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666452948672731E-2"/>
          <c:y val="0.22137459589345737"/>
          <c:w val="0.86113543274483295"/>
          <c:h val="0.57866812701043968"/>
        </c:manualLayout>
      </c:layout>
      <c:lineChart>
        <c:grouping val="standard"/>
        <c:ser>
          <c:idx val="0"/>
          <c:order val="0"/>
          <c:tx>
            <c:strRef>
              <c:f>'6fact 2niv'!$P$8</c:f>
              <c:strCache>
                <c:ptCount val="1"/>
                <c:pt idx="0">
                  <c:v>Facteur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'6fact 2niv'!$Q$6:$AG$7</c:f>
              <c:multiLvlStrCache>
                <c:ptCount val="17"/>
                <c:lvl>
                  <c:pt idx="0">
                    <c:v>A</c:v>
                  </c:pt>
                  <c:pt idx="1">
                    <c:v>A</c:v>
                  </c:pt>
                  <c:pt idx="3">
                    <c:v>B</c:v>
                  </c:pt>
                  <c:pt idx="4">
                    <c:v>B</c:v>
                  </c:pt>
                  <c:pt idx="6">
                    <c:v>C</c:v>
                  </c:pt>
                  <c:pt idx="7">
                    <c:v>C</c:v>
                  </c:pt>
                  <c:pt idx="9">
                    <c:v>D</c:v>
                  </c:pt>
                  <c:pt idx="10">
                    <c:v>D</c:v>
                  </c:pt>
                  <c:pt idx="12">
                    <c:v>E</c:v>
                  </c:pt>
                  <c:pt idx="13">
                    <c:v>E</c:v>
                  </c:pt>
                  <c:pt idx="15">
                    <c:v>F</c:v>
                  </c:pt>
                  <c:pt idx="16">
                    <c:v>F</c:v>
                  </c:pt>
                </c:lvl>
                <c:lvl>
                  <c:pt idx="0">
                    <c:v>A inf</c:v>
                  </c:pt>
                  <c:pt idx="1">
                    <c:v>A sup</c:v>
                  </c:pt>
                  <c:pt idx="2">
                    <c:v> </c:v>
                  </c:pt>
                  <c:pt idx="3">
                    <c:v>B inf</c:v>
                  </c:pt>
                  <c:pt idx="4">
                    <c:v>B sup</c:v>
                  </c:pt>
                  <c:pt idx="5">
                    <c:v> </c:v>
                  </c:pt>
                  <c:pt idx="6">
                    <c:v>C inf</c:v>
                  </c:pt>
                  <c:pt idx="7">
                    <c:v>C sup</c:v>
                  </c:pt>
                  <c:pt idx="8">
                    <c:v> </c:v>
                  </c:pt>
                  <c:pt idx="9">
                    <c:v>D inf</c:v>
                  </c:pt>
                  <c:pt idx="10">
                    <c:v>D sup</c:v>
                  </c:pt>
                  <c:pt idx="11">
                    <c:v> </c:v>
                  </c:pt>
                  <c:pt idx="12">
                    <c:v>E inf</c:v>
                  </c:pt>
                  <c:pt idx="13">
                    <c:v>E sup</c:v>
                  </c:pt>
                  <c:pt idx="14">
                    <c:v> </c:v>
                  </c:pt>
                  <c:pt idx="15">
                    <c:v>F inf</c:v>
                  </c:pt>
                  <c:pt idx="16">
                    <c:v>F sup</c:v>
                  </c:pt>
                </c:lvl>
              </c:multiLvlStrCache>
            </c:multiLvlStrRef>
          </c:cat>
          <c:val>
            <c:numRef>
              <c:f>'6fact 2niv'!$Q$8:$AG$8</c:f>
              <c:numCache>
                <c:formatCode>0.000</c:formatCode>
                <c:ptCount val="17"/>
                <c:pt idx="0">
                  <c:v>23.643374999999999</c:v>
                </c:pt>
                <c:pt idx="1">
                  <c:v>12.147125000000001</c:v>
                </c:pt>
                <c:pt idx="3">
                  <c:v>18.936249999999998</c:v>
                </c:pt>
                <c:pt idx="4">
                  <c:v>16.85425</c:v>
                </c:pt>
                <c:pt idx="6">
                  <c:v>19.732187500000002</c:v>
                </c:pt>
                <c:pt idx="7">
                  <c:v>16.0583125</c:v>
                </c:pt>
                <c:pt idx="9">
                  <c:v>17.723281249999999</c:v>
                </c:pt>
                <c:pt idx="10">
                  <c:v>18.067218749999999</c:v>
                </c:pt>
                <c:pt idx="12">
                  <c:v>17.469718749999998</c:v>
                </c:pt>
                <c:pt idx="13">
                  <c:v>18.32078125</c:v>
                </c:pt>
                <c:pt idx="15">
                  <c:v>17.7466875</c:v>
                </c:pt>
                <c:pt idx="16">
                  <c:v>18.043812499999998</c:v>
                </c:pt>
              </c:numCache>
            </c:numRef>
          </c:val>
        </c:ser>
        <c:ser>
          <c:idx val="1"/>
          <c:order val="1"/>
          <c:tx>
            <c:strRef>
              <c:f>'6fact 2niv'!$P$9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none"/>
          </c:marker>
          <c:cat>
            <c:multiLvlStrRef>
              <c:f>'6fact 2niv'!$Q$6:$AG$7</c:f>
              <c:multiLvlStrCache>
                <c:ptCount val="17"/>
                <c:lvl>
                  <c:pt idx="0">
                    <c:v>A</c:v>
                  </c:pt>
                  <c:pt idx="1">
                    <c:v>A</c:v>
                  </c:pt>
                  <c:pt idx="3">
                    <c:v>B</c:v>
                  </c:pt>
                  <c:pt idx="4">
                    <c:v>B</c:v>
                  </c:pt>
                  <c:pt idx="6">
                    <c:v>C</c:v>
                  </c:pt>
                  <c:pt idx="7">
                    <c:v>C</c:v>
                  </c:pt>
                  <c:pt idx="9">
                    <c:v>D</c:v>
                  </c:pt>
                  <c:pt idx="10">
                    <c:v>D</c:v>
                  </c:pt>
                  <c:pt idx="12">
                    <c:v>E</c:v>
                  </c:pt>
                  <c:pt idx="13">
                    <c:v>E</c:v>
                  </c:pt>
                  <c:pt idx="15">
                    <c:v>F</c:v>
                  </c:pt>
                  <c:pt idx="16">
                    <c:v>F</c:v>
                  </c:pt>
                </c:lvl>
                <c:lvl>
                  <c:pt idx="0">
                    <c:v>A inf</c:v>
                  </c:pt>
                  <c:pt idx="1">
                    <c:v>A sup</c:v>
                  </c:pt>
                  <c:pt idx="2">
                    <c:v> </c:v>
                  </c:pt>
                  <c:pt idx="3">
                    <c:v>B inf</c:v>
                  </c:pt>
                  <c:pt idx="4">
                    <c:v>B sup</c:v>
                  </c:pt>
                  <c:pt idx="5">
                    <c:v> </c:v>
                  </c:pt>
                  <c:pt idx="6">
                    <c:v>C inf</c:v>
                  </c:pt>
                  <c:pt idx="7">
                    <c:v>C sup</c:v>
                  </c:pt>
                  <c:pt idx="8">
                    <c:v> </c:v>
                  </c:pt>
                  <c:pt idx="9">
                    <c:v>D inf</c:v>
                  </c:pt>
                  <c:pt idx="10">
                    <c:v>D sup</c:v>
                  </c:pt>
                  <c:pt idx="11">
                    <c:v> </c:v>
                  </c:pt>
                  <c:pt idx="12">
                    <c:v>E inf</c:v>
                  </c:pt>
                  <c:pt idx="13">
                    <c:v>E sup</c:v>
                  </c:pt>
                  <c:pt idx="14">
                    <c:v> </c:v>
                  </c:pt>
                  <c:pt idx="15">
                    <c:v>F inf</c:v>
                  </c:pt>
                  <c:pt idx="16">
                    <c:v>F sup</c:v>
                  </c:pt>
                </c:lvl>
              </c:multiLvlStrCache>
            </c:multiLvlStrRef>
          </c:cat>
          <c:val>
            <c:numRef>
              <c:f>'6fact 2niv'!$Q$9:$AG$9</c:f>
              <c:numCache>
                <c:formatCode>0.000</c:formatCode>
                <c:ptCount val="17"/>
                <c:pt idx="0">
                  <c:v>17.895250000000004</c:v>
                </c:pt>
                <c:pt idx="1">
                  <c:v>17.895250000000004</c:v>
                </c:pt>
                <c:pt idx="2">
                  <c:v>17.895250000000004</c:v>
                </c:pt>
                <c:pt idx="3">
                  <c:v>17.895250000000004</c:v>
                </c:pt>
                <c:pt idx="4">
                  <c:v>17.895250000000004</c:v>
                </c:pt>
                <c:pt idx="5">
                  <c:v>17.895250000000004</c:v>
                </c:pt>
                <c:pt idx="6">
                  <c:v>17.895250000000004</c:v>
                </c:pt>
                <c:pt idx="7">
                  <c:v>17.895250000000004</c:v>
                </c:pt>
                <c:pt idx="8">
                  <c:v>17.895250000000004</c:v>
                </c:pt>
                <c:pt idx="9">
                  <c:v>17.895250000000004</c:v>
                </c:pt>
                <c:pt idx="10">
                  <c:v>17.895250000000004</c:v>
                </c:pt>
                <c:pt idx="11">
                  <c:v>17.895250000000004</c:v>
                </c:pt>
                <c:pt idx="12">
                  <c:v>17.895250000000004</c:v>
                </c:pt>
                <c:pt idx="13">
                  <c:v>17.895250000000004</c:v>
                </c:pt>
                <c:pt idx="14">
                  <c:v>17.895250000000004</c:v>
                </c:pt>
                <c:pt idx="15">
                  <c:v>17.895250000000004</c:v>
                </c:pt>
                <c:pt idx="16">
                  <c:v>17.895250000000004</c:v>
                </c:pt>
              </c:numCache>
            </c:numRef>
          </c:val>
        </c:ser>
        <c:marker val="1"/>
        <c:axId val="58134528"/>
        <c:axId val="58136064"/>
      </c:lineChart>
      <c:catAx>
        <c:axId val="5813452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136064"/>
        <c:crosses val="autoZero"/>
        <c:lblAlgn val="ctr"/>
        <c:lblOffset val="100"/>
        <c:tickLblSkip val="1"/>
        <c:tickMarkSkip val="1"/>
      </c:catAx>
      <c:valAx>
        <c:axId val="581360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9.8424770070844273E-3"/>
              <c:y val="0.39440301980044606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1345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86875606997050869"/>
          <c:y val="4.3256997455470833E-2"/>
          <c:w val="0.11685023813174918"/>
          <c:h val="0.129771326294136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A</a:t>
            </a:r>
          </a:p>
        </c:rich>
      </c:tx>
      <c:layout>
        <c:manualLayout>
          <c:xMode val="edge"/>
          <c:yMode val="edge"/>
          <c:x val="0.3784556720686385"/>
          <c:y val="3.529411764705885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1496663489037424E-2"/>
          <c:y val="0.15033081096370138"/>
          <c:w val="0.76835081029552577"/>
          <c:h val="0.6734078724108401"/>
        </c:manualLayout>
      </c:layout>
      <c:lineChart>
        <c:grouping val="standard"/>
        <c:ser>
          <c:idx val="0"/>
          <c:order val="0"/>
          <c:tx>
            <c:strRef>
              <c:f>'6fact 2niv'!$Q$21:$Q$22</c:f>
              <c:strCache>
                <c:ptCount val="1"/>
                <c:pt idx="0">
                  <c:v>A A inf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'6fact 2niv'!$O$23:$P$36</c:f>
              <c:multiLvlStrCache>
                <c:ptCount val="14"/>
                <c:lvl>
                  <c:pt idx="0">
                    <c:v>B</c:v>
                  </c:pt>
                  <c:pt idx="1">
                    <c:v>B</c:v>
                  </c:pt>
                  <c:pt idx="3">
                    <c:v>C</c:v>
                  </c:pt>
                  <c:pt idx="4">
                    <c:v>C</c:v>
                  </c:pt>
                  <c:pt idx="6">
                    <c:v>D</c:v>
                  </c:pt>
                  <c:pt idx="7">
                    <c:v>D</c:v>
                  </c:pt>
                  <c:pt idx="9">
                    <c:v>E</c:v>
                  </c:pt>
                  <c:pt idx="10">
                    <c:v>E</c:v>
                  </c:pt>
                  <c:pt idx="12">
                    <c:v>F</c:v>
                  </c:pt>
                  <c:pt idx="13">
                    <c:v>F</c:v>
                  </c:pt>
                </c:lvl>
                <c:lvl>
                  <c:pt idx="0">
                    <c:v>B inf</c:v>
                  </c:pt>
                  <c:pt idx="1">
                    <c:v>B sup</c:v>
                  </c:pt>
                  <c:pt idx="2">
                    <c:v> </c:v>
                  </c:pt>
                  <c:pt idx="3">
                    <c:v>C inf</c:v>
                  </c:pt>
                  <c:pt idx="4">
                    <c:v>C sup</c:v>
                  </c:pt>
                  <c:pt idx="5">
                    <c:v> </c:v>
                  </c:pt>
                  <c:pt idx="6">
                    <c:v>D inf</c:v>
                  </c:pt>
                  <c:pt idx="7">
                    <c:v>D sup</c:v>
                  </c:pt>
                  <c:pt idx="8">
                    <c:v> </c:v>
                  </c:pt>
                  <c:pt idx="9">
                    <c:v>E inf</c:v>
                  </c:pt>
                  <c:pt idx="10">
                    <c:v>E sup</c:v>
                  </c:pt>
                  <c:pt idx="11">
                    <c:v> </c:v>
                  </c:pt>
                  <c:pt idx="12">
                    <c:v>F inf</c:v>
                  </c:pt>
                  <c:pt idx="13">
                    <c:v>F sup</c:v>
                  </c:pt>
                </c:lvl>
              </c:multiLvlStrCache>
            </c:multiLvlStrRef>
          </c:cat>
          <c:val>
            <c:numRef>
              <c:f>'6fact 2niv'!$Q$23:$Q$36</c:f>
              <c:numCache>
                <c:formatCode>0.0</c:formatCode>
                <c:ptCount val="14"/>
                <c:pt idx="0">
                  <c:v>24.525812500000001</c:v>
                </c:pt>
                <c:pt idx="1">
                  <c:v>22.760937500000001</c:v>
                </c:pt>
                <c:pt idx="3">
                  <c:v>25.737687500000003</c:v>
                </c:pt>
                <c:pt idx="4">
                  <c:v>21.549062499999998</c:v>
                </c:pt>
                <c:pt idx="6">
                  <c:v>23.866937500000002</c:v>
                </c:pt>
                <c:pt idx="7">
                  <c:v>23.419812499999999</c:v>
                </c:pt>
                <c:pt idx="9">
                  <c:v>22.939250000000001</c:v>
                </c:pt>
                <c:pt idx="10">
                  <c:v>24.3475</c:v>
                </c:pt>
                <c:pt idx="12">
                  <c:v>23.581625000000003</c:v>
                </c:pt>
                <c:pt idx="13">
                  <c:v>23.705124999999999</c:v>
                </c:pt>
              </c:numCache>
            </c:numRef>
          </c:val>
        </c:ser>
        <c:ser>
          <c:idx val="1"/>
          <c:order val="1"/>
          <c:tx>
            <c:strRef>
              <c:f>'6fact 2niv'!$R$21:$R$22</c:f>
              <c:strCache>
                <c:ptCount val="1"/>
                <c:pt idx="0">
                  <c:v>A A sup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'6fact 2niv'!$O$23:$P$36</c:f>
              <c:multiLvlStrCache>
                <c:ptCount val="14"/>
                <c:lvl>
                  <c:pt idx="0">
                    <c:v>B</c:v>
                  </c:pt>
                  <c:pt idx="1">
                    <c:v>B</c:v>
                  </c:pt>
                  <c:pt idx="3">
                    <c:v>C</c:v>
                  </c:pt>
                  <c:pt idx="4">
                    <c:v>C</c:v>
                  </c:pt>
                  <c:pt idx="6">
                    <c:v>D</c:v>
                  </c:pt>
                  <c:pt idx="7">
                    <c:v>D</c:v>
                  </c:pt>
                  <c:pt idx="9">
                    <c:v>E</c:v>
                  </c:pt>
                  <c:pt idx="10">
                    <c:v>E</c:v>
                  </c:pt>
                  <c:pt idx="12">
                    <c:v>F</c:v>
                  </c:pt>
                  <c:pt idx="13">
                    <c:v>F</c:v>
                  </c:pt>
                </c:lvl>
                <c:lvl>
                  <c:pt idx="0">
                    <c:v>B inf</c:v>
                  </c:pt>
                  <c:pt idx="1">
                    <c:v>B sup</c:v>
                  </c:pt>
                  <c:pt idx="2">
                    <c:v> </c:v>
                  </c:pt>
                  <c:pt idx="3">
                    <c:v>C inf</c:v>
                  </c:pt>
                  <c:pt idx="4">
                    <c:v>C sup</c:v>
                  </c:pt>
                  <c:pt idx="5">
                    <c:v> </c:v>
                  </c:pt>
                  <c:pt idx="6">
                    <c:v>D inf</c:v>
                  </c:pt>
                  <c:pt idx="7">
                    <c:v>D sup</c:v>
                  </c:pt>
                  <c:pt idx="8">
                    <c:v> </c:v>
                  </c:pt>
                  <c:pt idx="9">
                    <c:v>E inf</c:v>
                  </c:pt>
                  <c:pt idx="10">
                    <c:v>E sup</c:v>
                  </c:pt>
                  <c:pt idx="11">
                    <c:v> </c:v>
                  </c:pt>
                  <c:pt idx="12">
                    <c:v>F inf</c:v>
                  </c:pt>
                  <c:pt idx="13">
                    <c:v>F sup</c:v>
                  </c:pt>
                </c:lvl>
              </c:multiLvlStrCache>
            </c:multiLvlStrRef>
          </c:cat>
          <c:val>
            <c:numRef>
              <c:f>'6fact 2niv'!$R$23:$R$36</c:f>
              <c:numCache>
                <c:formatCode>0.0</c:formatCode>
                <c:ptCount val="14"/>
                <c:pt idx="0">
                  <c:v>13.346687500000002</c:v>
                </c:pt>
                <c:pt idx="1">
                  <c:v>10.947562499999998</c:v>
                </c:pt>
                <c:pt idx="3">
                  <c:v>13.726687500000001</c:v>
                </c:pt>
                <c:pt idx="4">
                  <c:v>10.567562499999999</c:v>
                </c:pt>
                <c:pt idx="6">
                  <c:v>11.579625</c:v>
                </c:pt>
                <c:pt idx="7">
                  <c:v>12.714625</c:v>
                </c:pt>
                <c:pt idx="9">
                  <c:v>12.000187500000001</c:v>
                </c:pt>
                <c:pt idx="10">
                  <c:v>12.294062499999997</c:v>
                </c:pt>
                <c:pt idx="12">
                  <c:v>11.911750000000001</c:v>
                </c:pt>
                <c:pt idx="13">
                  <c:v>12.3825</c:v>
                </c:pt>
              </c:numCache>
            </c:numRef>
          </c:val>
        </c:ser>
        <c:marker val="1"/>
        <c:axId val="58243712"/>
        <c:axId val="58278656"/>
      </c:lineChart>
      <c:catAx>
        <c:axId val="582437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278656"/>
        <c:crosses val="autoZero"/>
        <c:lblAlgn val="ctr"/>
        <c:lblOffset val="100"/>
        <c:tickLblSkip val="1"/>
        <c:tickMarkSkip val="1"/>
      </c:catAx>
      <c:valAx>
        <c:axId val="582786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0793517448632309E-2"/>
              <c:y val="0.40470752375292784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243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19351763584794"/>
          <c:y val="0.45647213215995291"/>
          <c:w val="0.13632030505243181"/>
          <c:h val="0.249412691060677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B</a:t>
            </a:r>
          </a:p>
        </c:rich>
      </c:tx>
      <c:layout>
        <c:manualLayout>
          <c:xMode val="edge"/>
          <c:yMode val="edge"/>
          <c:x val="0.35575826681870032"/>
          <c:y val="3.8265306122448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518826042542767E-2"/>
          <c:y val="0.15626397594358185"/>
          <c:w val="0.73432165295196561"/>
          <c:h val="0.66108815269755461"/>
        </c:manualLayout>
      </c:layout>
      <c:lineChart>
        <c:grouping val="standard"/>
        <c:ser>
          <c:idx val="0"/>
          <c:order val="0"/>
          <c:tx>
            <c:strRef>
              <c:f>'6fact 2niv'!$Q$41:$Q$42</c:f>
              <c:strCache>
                <c:ptCount val="1"/>
                <c:pt idx="0">
                  <c:v>B B inf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'6fact 2niv'!$O$43:$P$53</c:f>
              <c:multiLvlStrCache>
                <c:ptCount val="11"/>
                <c:lvl>
                  <c:pt idx="0">
                    <c:v>C</c:v>
                  </c:pt>
                  <c:pt idx="1">
                    <c:v>C</c:v>
                  </c:pt>
                  <c:pt idx="3">
                    <c:v>D</c:v>
                  </c:pt>
                  <c:pt idx="4">
                    <c:v>D</c:v>
                  </c:pt>
                  <c:pt idx="6">
                    <c:v>E</c:v>
                  </c:pt>
                  <c:pt idx="7">
                    <c:v>E</c:v>
                  </c:pt>
                  <c:pt idx="9">
                    <c:v>F</c:v>
                  </c:pt>
                  <c:pt idx="10">
                    <c:v>F</c:v>
                  </c:pt>
                </c:lvl>
                <c:lvl>
                  <c:pt idx="0">
                    <c:v>C inf</c:v>
                  </c:pt>
                  <c:pt idx="1">
                    <c:v>C sup</c:v>
                  </c:pt>
                  <c:pt idx="2">
                    <c:v> </c:v>
                  </c:pt>
                  <c:pt idx="3">
                    <c:v>D inf</c:v>
                  </c:pt>
                  <c:pt idx="4">
                    <c:v>D sup</c:v>
                  </c:pt>
                  <c:pt idx="5">
                    <c:v> </c:v>
                  </c:pt>
                  <c:pt idx="6">
                    <c:v>E inf</c:v>
                  </c:pt>
                  <c:pt idx="7">
                    <c:v>E sup</c:v>
                  </c:pt>
                  <c:pt idx="8">
                    <c:v> </c:v>
                  </c:pt>
                  <c:pt idx="9">
                    <c:v>F inf</c:v>
                  </c:pt>
                  <c:pt idx="10">
                    <c:v>F sup</c:v>
                  </c:pt>
                </c:lvl>
              </c:multiLvlStrCache>
            </c:multiLvlStrRef>
          </c:cat>
          <c:val>
            <c:numRef>
              <c:f>'6fact 2niv'!$Q$43:$Q$53</c:f>
              <c:numCache>
                <c:formatCode>0.0</c:formatCode>
                <c:ptCount val="11"/>
                <c:pt idx="0">
                  <c:v>19.878875000000004</c:v>
                </c:pt>
                <c:pt idx="1">
                  <c:v>17.993625000000002</c:v>
                </c:pt>
                <c:pt idx="3">
                  <c:v>19.401812500000002</c:v>
                </c:pt>
                <c:pt idx="4">
                  <c:v>18.4706875</c:v>
                </c:pt>
                <c:pt idx="6">
                  <c:v>19.0933125</c:v>
                </c:pt>
                <c:pt idx="7">
                  <c:v>18.779187500000003</c:v>
                </c:pt>
                <c:pt idx="9">
                  <c:v>18.275625000000002</c:v>
                </c:pt>
                <c:pt idx="10">
                  <c:v>19.596875000000001</c:v>
                </c:pt>
              </c:numCache>
            </c:numRef>
          </c:val>
        </c:ser>
        <c:ser>
          <c:idx val="1"/>
          <c:order val="1"/>
          <c:tx>
            <c:strRef>
              <c:f>'6fact 2niv'!$R$41:$R$42</c:f>
              <c:strCache>
                <c:ptCount val="1"/>
                <c:pt idx="0">
                  <c:v>B B sup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'6fact 2niv'!$O$43:$P$53</c:f>
              <c:multiLvlStrCache>
                <c:ptCount val="11"/>
                <c:lvl>
                  <c:pt idx="0">
                    <c:v>C</c:v>
                  </c:pt>
                  <c:pt idx="1">
                    <c:v>C</c:v>
                  </c:pt>
                  <c:pt idx="3">
                    <c:v>D</c:v>
                  </c:pt>
                  <c:pt idx="4">
                    <c:v>D</c:v>
                  </c:pt>
                  <c:pt idx="6">
                    <c:v>E</c:v>
                  </c:pt>
                  <c:pt idx="7">
                    <c:v>E</c:v>
                  </c:pt>
                  <c:pt idx="9">
                    <c:v>F</c:v>
                  </c:pt>
                  <c:pt idx="10">
                    <c:v>F</c:v>
                  </c:pt>
                </c:lvl>
                <c:lvl>
                  <c:pt idx="0">
                    <c:v>C inf</c:v>
                  </c:pt>
                  <c:pt idx="1">
                    <c:v>C sup</c:v>
                  </c:pt>
                  <c:pt idx="2">
                    <c:v> </c:v>
                  </c:pt>
                  <c:pt idx="3">
                    <c:v>D inf</c:v>
                  </c:pt>
                  <c:pt idx="4">
                    <c:v>D sup</c:v>
                  </c:pt>
                  <c:pt idx="5">
                    <c:v> </c:v>
                  </c:pt>
                  <c:pt idx="6">
                    <c:v>E inf</c:v>
                  </c:pt>
                  <c:pt idx="7">
                    <c:v>E sup</c:v>
                  </c:pt>
                  <c:pt idx="8">
                    <c:v> </c:v>
                  </c:pt>
                  <c:pt idx="9">
                    <c:v>F inf</c:v>
                  </c:pt>
                  <c:pt idx="10">
                    <c:v>F sup</c:v>
                  </c:pt>
                </c:lvl>
              </c:multiLvlStrCache>
            </c:multiLvlStrRef>
          </c:cat>
          <c:val>
            <c:numRef>
              <c:f>'6fact 2niv'!$R$43:$R$53</c:f>
              <c:numCache>
                <c:formatCode>0.0</c:formatCode>
                <c:ptCount val="11"/>
                <c:pt idx="0">
                  <c:v>19.5855</c:v>
                </c:pt>
                <c:pt idx="1">
                  <c:v>14.122999999999999</c:v>
                </c:pt>
                <c:pt idx="3">
                  <c:v>16.044750000000001</c:v>
                </c:pt>
                <c:pt idx="4">
                  <c:v>17.66375</c:v>
                </c:pt>
                <c:pt idx="6">
                  <c:v>15.846124999999999</c:v>
                </c:pt>
                <c:pt idx="7">
                  <c:v>17.862375</c:v>
                </c:pt>
                <c:pt idx="9">
                  <c:v>17.217749999999999</c:v>
                </c:pt>
                <c:pt idx="10">
                  <c:v>16.490749999999998</c:v>
                </c:pt>
              </c:numCache>
            </c:numRef>
          </c:val>
        </c:ser>
        <c:marker val="1"/>
        <c:axId val="58749312"/>
        <c:axId val="58751232"/>
      </c:lineChart>
      <c:catAx>
        <c:axId val="587493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751232"/>
        <c:crosses val="autoZero"/>
        <c:lblAlgn val="ctr"/>
        <c:lblOffset val="100"/>
        <c:tickLblSkip val="1"/>
        <c:tickMarkSkip val="1"/>
      </c:catAx>
      <c:valAx>
        <c:axId val="58751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3501034792218295E-2"/>
              <c:y val="0.3954088025428999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749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580402649213148"/>
          <c:y val="0.43622515935508088"/>
          <c:w val="0.15165336374002344"/>
          <c:h val="0.270408832824470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C</a:t>
            </a:r>
          </a:p>
        </c:rich>
      </c:tx>
      <c:layout>
        <c:manualLayout>
          <c:xMode val="edge"/>
          <c:yMode val="edge"/>
          <c:x val="0.33022653959200787"/>
          <c:y val="3.73333333333334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669091386684E-2"/>
          <c:y val="0.14989949462765331"/>
          <c:w val="0.69640524639364165"/>
          <c:h val="0.65476632940047363"/>
        </c:manualLayout>
      </c:layout>
      <c:lineChart>
        <c:grouping val="standard"/>
        <c:ser>
          <c:idx val="0"/>
          <c:order val="0"/>
          <c:tx>
            <c:strRef>
              <c:f>'6fact 2niv'!$Q$57:$Q$58</c:f>
              <c:strCache>
                <c:ptCount val="1"/>
                <c:pt idx="0">
                  <c:v>C inf 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'6fact 2niv'!$O$59:$P$66</c:f>
              <c:multiLvlStrCache>
                <c:ptCount val="8"/>
                <c:lvl>
                  <c:pt idx="0">
                    <c:v>D</c:v>
                  </c:pt>
                  <c:pt idx="1">
                    <c:v>D</c:v>
                  </c:pt>
                  <c:pt idx="3">
                    <c:v>E</c:v>
                  </c:pt>
                  <c:pt idx="4">
                    <c:v>E</c:v>
                  </c:pt>
                  <c:pt idx="6">
                    <c:v>F</c:v>
                  </c:pt>
                  <c:pt idx="7">
                    <c:v>F</c:v>
                  </c:pt>
                </c:lvl>
                <c:lvl>
                  <c:pt idx="0">
                    <c:v>D inf</c:v>
                  </c:pt>
                  <c:pt idx="1">
                    <c:v>D sup</c:v>
                  </c:pt>
                  <c:pt idx="2">
                    <c:v> </c:v>
                  </c:pt>
                  <c:pt idx="3">
                    <c:v>E inf</c:v>
                  </c:pt>
                  <c:pt idx="4">
                    <c:v>E sup</c:v>
                  </c:pt>
                  <c:pt idx="5">
                    <c:v> </c:v>
                  </c:pt>
                  <c:pt idx="6">
                    <c:v>F inf</c:v>
                  </c:pt>
                  <c:pt idx="7">
                    <c:v>F sup</c:v>
                  </c:pt>
                </c:lvl>
              </c:multiLvlStrCache>
            </c:multiLvlStrRef>
          </c:cat>
          <c:val>
            <c:numRef>
              <c:f>'6fact 2niv'!$Q$59:$Q$66</c:f>
              <c:numCache>
                <c:formatCode>0.0</c:formatCode>
                <c:ptCount val="8"/>
                <c:pt idx="0">
                  <c:v>18.827624999999998</c:v>
                </c:pt>
                <c:pt idx="1">
                  <c:v>20.636749999999999</c:v>
                </c:pt>
                <c:pt idx="3">
                  <c:v>19.628</c:v>
                </c:pt>
                <c:pt idx="4">
                  <c:v>19.836375</c:v>
                </c:pt>
                <c:pt idx="6">
                  <c:v>19.243937499999998</c:v>
                </c:pt>
                <c:pt idx="7">
                  <c:v>20.220437499999999</c:v>
                </c:pt>
              </c:numCache>
            </c:numRef>
          </c:val>
        </c:ser>
        <c:ser>
          <c:idx val="1"/>
          <c:order val="1"/>
          <c:tx>
            <c:strRef>
              <c:f>'6fact 2niv'!$R$57:$R$58</c:f>
              <c:strCache>
                <c:ptCount val="1"/>
                <c:pt idx="0">
                  <c:v>C sup C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'6fact 2niv'!$O$59:$P$66</c:f>
              <c:multiLvlStrCache>
                <c:ptCount val="8"/>
                <c:lvl>
                  <c:pt idx="0">
                    <c:v>D</c:v>
                  </c:pt>
                  <c:pt idx="1">
                    <c:v>D</c:v>
                  </c:pt>
                  <c:pt idx="3">
                    <c:v>E</c:v>
                  </c:pt>
                  <c:pt idx="4">
                    <c:v>E</c:v>
                  </c:pt>
                  <c:pt idx="6">
                    <c:v>F</c:v>
                  </c:pt>
                  <c:pt idx="7">
                    <c:v>F</c:v>
                  </c:pt>
                </c:lvl>
                <c:lvl>
                  <c:pt idx="0">
                    <c:v>D inf</c:v>
                  </c:pt>
                  <c:pt idx="1">
                    <c:v>D sup</c:v>
                  </c:pt>
                  <c:pt idx="2">
                    <c:v> </c:v>
                  </c:pt>
                  <c:pt idx="3">
                    <c:v>E inf</c:v>
                  </c:pt>
                  <c:pt idx="4">
                    <c:v>E sup</c:v>
                  </c:pt>
                  <c:pt idx="5">
                    <c:v> </c:v>
                  </c:pt>
                  <c:pt idx="6">
                    <c:v>F inf</c:v>
                  </c:pt>
                  <c:pt idx="7">
                    <c:v>F sup</c:v>
                  </c:pt>
                </c:lvl>
              </c:multiLvlStrCache>
            </c:multiLvlStrRef>
          </c:cat>
          <c:val>
            <c:numRef>
              <c:f>'6fact 2niv'!$R$59:$R$66</c:f>
              <c:numCache>
                <c:formatCode>0.0</c:formatCode>
                <c:ptCount val="8"/>
                <c:pt idx="0">
                  <c:v>16.618937500000005</c:v>
                </c:pt>
                <c:pt idx="1">
                  <c:v>15.4976875</c:v>
                </c:pt>
                <c:pt idx="3">
                  <c:v>15.3114375</c:v>
                </c:pt>
                <c:pt idx="4">
                  <c:v>16.805187500000002</c:v>
                </c:pt>
                <c:pt idx="6">
                  <c:v>16.249437499999999</c:v>
                </c:pt>
                <c:pt idx="7">
                  <c:v>15.8671875</c:v>
                </c:pt>
              </c:numCache>
            </c:numRef>
          </c:val>
        </c:ser>
        <c:marker val="1"/>
        <c:axId val="58763904"/>
        <c:axId val="58778368"/>
      </c:lineChart>
      <c:catAx>
        <c:axId val="587639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778368"/>
        <c:crosses val="autoZero"/>
        <c:lblAlgn val="ctr"/>
        <c:lblOffset val="100"/>
        <c:tickLblSkip val="1"/>
        <c:tickMarkSkip val="1"/>
      </c:catAx>
      <c:valAx>
        <c:axId val="58778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3968042609853552E-2"/>
              <c:y val="0.39200034995625826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7639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358241504764828"/>
          <c:y val="0.39200034995625826"/>
          <c:w val="0.17043958885964824"/>
          <c:h val="0.3040003499562575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D</a:t>
            </a:r>
          </a:p>
        </c:rich>
      </c:tx>
      <c:layout>
        <c:manualLayout>
          <c:xMode val="edge"/>
          <c:yMode val="edge"/>
          <c:x val="0.32316245663467053"/>
          <c:y val="3.987730061349721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643615232166409"/>
          <c:y val="0.26380457001336438"/>
          <c:w val="0.57911608690333627"/>
          <c:h val="0.41411182502097882"/>
        </c:manualLayout>
      </c:layout>
      <c:lineChart>
        <c:grouping val="standard"/>
        <c:ser>
          <c:idx val="0"/>
          <c:order val="0"/>
          <c:tx>
            <c:strRef>
              <c:f>'6fact 2niv'!$Q$75:$Q$76</c:f>
              <c:strCache>
                <c:ptCount val="1"/>
                <c:pt idx="0">
                  <c:v>D D inf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'6fact 2niv'!$O$77:$P$81</c:f>
              <c:multiLvlStrCache>
                <c:ptCount val="5"/>
                <c:lvl>
                  <c:pt idx="0">
                    <c:v>E</c:v>
                  </c:pt>
                  <c:pt idx="1">
                    <c:v>E</c:v>
                  </c:pt>
                  <c:pt idx="3">
                    <c:v>F</c:v>
                  </c:pt>
                  <c:pt idx="4">
                    <c:v>F</c:v>
                  </c:pt>
                </c:lvl>
                <c:lvl>
                  <c:pt idx="0">
                    <c:v>E inf</c:v>
                  </c:pt>
                  <c:pt idx="1">
                    <c:v>E sup</c:v>
                  </c:pt>
                  <c:pt idx="2">
                    <c:v> </c:v>
                  </c:pt>
                  <c:pt idx="3">
                    <c:v>F inf</c:v>
                  </c:pt>
                  <c:pt idx="4">
                    <c:v>F sup</c:v>
                  </c:pt>
                </c:lvl>
              </c:multiLvlStrCache>
            </c:multiLvlStrRef>
          </c:cat>
          <c:val>
            <c:numRef>
              <c:f>'6fact 2niv'!$Q$77:$Q$81</c:f>
              <c:numCache>
                <c:formatCode>0.0</c:formatCode>
                <c:ptCount val="5"/>
                <c:pt idx="0">
                  <c:v>17.421937499999999</c:v>
                </c:pt>
                <c:pt idx="1">
                  <c:v>18.024625000000004</c:v>
                </c:pt>
                <c:pt idx="3">
                  <c:v>18.113812500000002</c:v>
                </c:pt>
                <c:pt idx="4">
                  <c:v>17.332750000000001</c:v>
                </c:pt>
              </c:numCache>
            </c:numRef>
          </c:val>
        </c:ser>
        <c:ser>
          <c:idx val="1"/>
          <c:order val="1"/>
          <c:tx>
            <c:strRef>
              <c:f>'6fact 2niv'!$R$75:$R$76</c:f>
              <c:strCache>
                <c:ptCount val="1"/>
                <c:pt idx="0">
                  <c:v>D D sup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'6fact 2niv'!$O$77:$P$81</c:f>
              <c:multiLvlStrCache>
                <c:ptCount val="5"/>
                <c:lvl>
                  <c:pt idx="0">
                    <c:v>E</c:v>
                  </c:pt>
                  <c:pt idx="1">
                    <c:v>E</c:v>
                  </c:pt>
                  <c:pt idx="3">
                    <c:v>F</c:v>
                  </c:pt>
                  <c:pt idx="4">
                    <c:v>F</c:v>
                  </c:pt>
                </c:lvl>
                <c:lvl>
                  <c:pt idx="0">
                    <c:v>E inf</c:v>
                  </c:pt>
                  <c:pt idx="1">
                    <c:v>E sup</c:v>
                  </c:pt>
                  <c:pt idx="2">
                    <c:v> </c:v>
                  </c:pt>
                  <c:pt idx="3">
                    <c:v>F inf</c:v>
                  </c:pt>
                  <c:pt idx="4">
                    <c:v>F sup</c:v>
                  </c:pt>
                </c:lvl>
              </c:multiLvlStrCache>
            </c:multiLvlStrRef>
          </c:cat>
          <c:val>
            <c:numRef>
              <c:f>'6fact 2niv'!$R$77:$R$81</c:f>
              <c:numCache>
                <c:formatCode>0.0</c:formatCode>
                <c:ptCount val="5"/>
                <c:pt idx="0">
                  <c:v>17.517499999999998</c:v>
                </c:pt>
                <c:pt idx="1">
                  <c:v>18.616937499999999</c:v>
                </c:pt>
                <c:pt idx="3">
                  <c:v>17.379562499999999</c:v>
                </c:pt>
                <c:pt idx="4">
                  <c:v>18.754875000000002</c:v>
                </c:pt>
              </c:numCache>
            </c:numRef>
          </c:val>
        </c:ser>
        <c:marker val="1"/>
        <c:axId val="58868864"/>
        <c:axId val="58870784"/>
      </c:lineChart>
      <c:catAx>
        <c:axId val="5886886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870784"/>
        <c:crosses val="autoZero"/>
        <c:lblAlgn val="ctr"/>
        <c:lblOffset val="100"/>
        <c:tickLblSkip val="1"/>
        <c:tickMarkSkip val="1"/>
      </c:catAx>
      <c:valAx>
        <c:axId val="588707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4965325936199722E-2"/>
              <c:y val="0.35582942853002281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8688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052838917305153"/>
          <c:y val="0.45705682495209582"/>
          <c:w val="0.24560257545923089"/>
          <c:h val="0.288344363396295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AB</a:t>
            </a:r>
          </a:p>
        </c:rich>
      </c:tx>
      <c:layout>
        <c:manualLayout>
          <c:xMode val="edge"/>
          <c:yMode val="edge"/>
          <c:x val="0.38420154841506571"/>
          <c:y val="4.126984126984126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9389610634397814"/>
          <c:y val="0.19576761238178558"/>
          <c:w val="0.55595522507621919"/>
          <c:h val="0.55449777111194098"/>
        </c:manualLayout>
      </c:layout>
      <c:lineChart>
        <c:grouping val="standard"/>
        <c:ser>
          <c:idx val="0"/>
          <c:order val="0"/>
          <c:tx>
            <c:strRef>
              <c:f>'2fact 2niv'!$K$22</c:f>
              <c:strCache>
                <c:ptCount val="1"/>
                <c:pt idx="0">
                  <c:v>100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'2fact 2niv'!$L$20:$M$21</c:f>
              <c:multiLvlStrCache>
                <c:ptCount val="2"/>
                <c:lvl>
                  <c:pt idx="0">
                    <c:v>Temp.</c:v>
                  </c:pt>
                  <c:pt idx="1">
                    <c:v>Temp.</c:v>
                  </c:pt>
                </c:lvl>
                <c:lvl>
                  <c:pt idx="0">
                    <c:v>75</c:v>
                  </c:pt>
                  <c:pt idx="1">
                    <c:v>85</c:v>
                  </c:pt>
                </c:lvl>
              </c:multiLvlStrCache>
            </c:multiLvlStrRef>
          </c:cat>
          <c:val>
            <c:numRef>
              <c:f>'2fact 2niv'!$L$22:$M$22</c:f>
              <c:numCache>
                <c:formatCode>0.00</c:formatCode>
                <c:ptCount val="2"/>
                <c:pt idx="0">
                  <c:v>148.5</c:v>
                </c:pt>
                <c:pt idx="1">
                  <c:v>143.5</c:v>
                </c:pt>
              </c:numCache>
            </c:numRef>
          </c:val>
        </c:ser>
        <c:ser>
          <c:idx val="1"/>
          <c:order val="1"/>
          <c:tx>
            <c:strRef>
              <c:f>'2fact 2niv'!$K$23</c:f>
              <c:strCache>
                <c:ptCount val="1"/>
                <c:pt idx="0">
                  <c:v>140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'2fact 2niv'!$L$20:$M$21</c:f>
              <c:multiLvlStrCache>
                <c:ptCount val="2"/>
                <c:lvl>
                  <c:pt idx="0">
                    <c:v>Temp.</c:v>
                  </c:pt>
                  <c:pt idx="1">
                    <c:v>Temp.</c:v>
                  </c:pt>
                </c:lvl>
                <c:lvl>
                  <c:pt idx="0">
                    <c:v>75</c:v>
                  </c:pt>
                  <c:pt idx="1">
                    <c:v>85</c:v>
                  </c:pt>
                </c:lvl>
              </c:multiLvlStrCache>
            </c:multiLvlStrRef>
          </c:cat>
          <c:val>
            <c:numRef>
              <c:f>'2fact 2niv'!$L$23:$M$23</c:f>
              <c:numCache>
                <c:formatCode>0.00</c:formatCode>
                <c:ptCount val="2"/>
                <c:pt idx="0">
                  <c:v>175.5</c:v>
                </c:pt>
                <c:pt idx="1">
                  <c:v>195.7</c:v>
                </c:pt>
              </c:numCache>
            </c:numRef>
          </c:val>
        </c:ser>
        <c:marker val="1"/>
        <c:axId val="59398016"/>
        <c:axId val="59424768"/>
      </c:lineChart>
      <c:catAx>
        <c:axId val="593980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424768"/>
        <c:crosses val="autoZero"/>
        <c:lblAlgn val="ctr"/>
        <c:lblOffset val="100"/>
        <c:tickLblSkip val="1"/>
        <c:tickMarkSkip val="1"/>
      </c:catAx>
      <c:valAx>
        <c:axId val="59424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3.23159784560147E-2"/>
              <c:y val="0.3555559721701471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3980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58539608042712"/>
          <c:y val="0.40634962296379618"/>
          <c:w val="0.15619413147862912"/>
          <c:h val="0.149206349206350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E F</a:t>
            </a:r>
          </a:p>
        </c:rich>
      </c:tx>
      <c:layout>
        <c:manualLayout>
          <c:xMode val="edge"/>
          <c:yMode val="edge"/>
          <c:x val="0.40000019883878152"/>
          <c:y val="4.23452768729641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561794137808971"/>
          <c:y val="0.21737323757095131"/>
          <c:w val="0.50195800152958792"/>
          <c:h val="0.44060736658315619"/>
        </c:manualLayout>
      </c:layout>
      <c:lineChart>
        <c:grouping val="standard"/>
        <c:ser>
          <c:idx val="0"/>
          <c:order val="0"/>
          <c:tx>
            <c:strRef>
              <c:f>'6fact 2niv'!$Q$90:$Q$91</c:f>
              <c:strCache>
                <c:ptCount val="1"/>
                <c:pt idx="0">
                  <c:v>E E inf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'6fact 2niv'!$O$92:$P$93</c:f>
              <c:multiLvlStrCache>
                <c:ptCount val="2"/>
                <c:lvl>
                  <c:pt idx="0">
                    <c:v>F</c:v>
                  </c:pt>
                  <c:pt idx="1">
                    <c:v>F</c:v>
                  </c:pt>
                </c:lvl>
                <c:lvl>
                  <c:pt idx="0">
                    <c:v>F inf</c:v>
                  </c:pt>
                  <c:pt idx="1">
                    <c:v>F sup</c:v>
                  </c:pt>
                </c:lvl>
              </c:multiLvlStrCache>
            </c:multiLvlStrRef>
          </c:cat>
          <c:val>
            <c:numRef>
              <c:f>'6fact 2niv'!$Q$92:$Q$93</c:f>
              <c:numCache>
                <c:formatCode>General</c:formatCode>
                <c:ptCount val="2"/>
                <c:pt idx="0">
                  <c:v>17.247624999999999</c:v>
                </c:pt>
                <c:pt idx="1">
                  <c:v>17.691812499999997</c:v>
                </c:pt>
              </c:numCache>
            </c:numRef>
          </c:val>
        </c:ser>
        <c:ser>
          <c:idx val="1"/>
          <c:order val="1"/>
          <c:tx>
            <c:strRef>
              <c:f>'6fact 2niv'!$R$90:$R$91</c:f>
              <c:strCache>
                <c:ptCount val="1"/>
                <c:pt idx="0">
                  <c:v>E E sup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'6fact 2niv'!$O$92:$P$93</c:f>
              <c:multiLvlStrCache>
                <c:ptCount val="2"/>
                <c:lvl>
                  <c:pt idx="0">
                    <c:v>F</c:v>
                  </c:pt>
                  <c:pt idx="1">
                    <c:v>F</c:v>
                  </c:pt>
                </c:lvl>
                <c:lvl>
                  <c:pt idx="0">
                    <c:v>F inf</c:v>
                  </c:pt>
                  <c:pt idx="1">
                    <c:v>F sup</c:v>
                  </c:pt>
                </c:lvl>
              </c:multiLvlStrCache>
            </c:multiLvlStrRef>
          </c:cat>
          <c:val>
            <c:numRef>
              <c:f>'6fact 2niv'!$R$92:$R$93</c:f>
              <c:numCache>
                <c:formatCode>General</c:formatCode>
                <c:ptCount val="2"/>
                <c:pt idx="0">
                  <c:v>18.245750000000001</c:v>
                </c:pt>
                <c:pt idx="1">
                  <c:v>18.395812500000002</c:v>
                </c:pt>
              </c:numCache>
            </c:numRef>
          </c:val>
        </c:ser>
        <c:marker val="1"/>
        <c:axId val="58891648"/>
        <c:axId val="58893824"/>
      </c:lineChart>
      <c:catAx>
        <c:axId val="58891648"/>
        <c:scaling>
          <c:orientation val="minMax"/>
        </c:scaling>
        <c:axPos val="b"/>
        <c:numFmt formatCode="@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893824"/>
        <c:crosses val="autoZero"/>
        <c:lblAlgn val="ctr"/>
        <c:lblOffset val="100"/>
        <c:tickLblSkip val="1"/>
        <c:tickMarkSkip val="1"/>
      </c:catAx>
      <c:valAx>
        <c:axId val="58893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7272727272727504E-2"/>
              <c:y val="0.3420195439739434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8916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878807762666065"/>
          <c:y val="0.38110749185667991"/>
          <c:w val="0.25757575757575757"/>
          <c:h val="0.312703583061890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 sz="1200"/>
              <a:t>Graphique des effets moyens</a:t>
            </a:r>
          </a:p>
        </c:rich>
      </c:tx>
      <c:layout>
        <c:manualLayout>
          <c:xMode val="edge"/>
          <c:yMode val="edge"/>
          <c:x val="0.36073684041028614"/>
          <c:y val="4.10557669055414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94026300669772"/>
          <c:y val="0.14114931281880044"/>
          <c:w val="0.6903740191489447"/>
          <c:h val="0.58026075579714487"/>
        </c:manualLayout>
      </c:layout>
      <c:lineChart>
        <c:grouping val="standard"/>
        <c:ser>
          <c:idx val="0"/>
          <c:order val="0"/>
          <c:tx>
            <c:strRef>
              <c:f>'3fact 2niv'!$L$15</c:f>
              <c:strCache>
                <c:ptCount val="1"/>
                <c:pt idx="0">
                  <c:v>Facteur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'3fact 2niv'!$M$13:$T$14</c:f>
              <c:multiLvlStrCache>
                <c:ptCount val="8"/>
                <c:lvl>
                  <c:pt idx="0">
                    <c:v>Temp.</c:v>
                  </c:pt>
                  <c:pt idx="1">
                    <c:v>Temp.</c:v>
                  </c:pt>
                  <c:pt idx="3">
                    <c:v>Durée</c:v>
                  </c:pt>
                  <c:pt idx="4">
                    <c:v>Durée</c:v>
                  </c:pt>
                  <c:pt idx="6">
                    <c:v>Souche</c:v>
                  </c:pt>
                  <c:pt idx="7">
                    <c:v>Souche</c:v>
                  </c:pt>
                </c:lvl>
                <c:lvl>
                  <c:pt idx="0">
                    <c:v>24°C</c:v>
                  </c:pt>
                  <c:pt idx="1">
                    <c:v>28°C</c:v>
                  </c:pt>
                  <c:pt idx="2">
                    <c:v> </c:v>
                  </c:pt>
                  <c:pt idx="3">
                    <c:v>22h</c:v>
                  </c:pt>
                  <c:pt idx="4">
                    <c:v>24h</c:v>
                  </c:pt>
                  <c:pt idx="5">
                    <c:v> </c:v>
                  </c:pt>
                  <c:pt idx="6">
                    <c:v>SA</c:v>
                  </c:pt>
                  <c:pt idx="7">
                    <c:v>SB</c:v>
                  </c:pt>
                </c:lvl>
              </c:multiLvlStrCache>
            </c:multiLvlStrRef>
          </c:cat>
          <c:val>
            <c:numRef>
              <c:f>'3fact 2niv'!$M$15:$T$15</c:f>
              <c:numCache>
                <c:formatCode>General</c:formatCode>
                <c:ptCount val="8"/>
                <c:pt idx="0">
                  <c:v>28.324999999999999</c:v>
                </c:pt>
                <c:pt idx="1">
                  <c:v>29.05</c:v>
                </c:pt>
                <c:pt idx="3">
                  <c:v>28.175000000000001</c:v>
                </c:pt>
                <c:pt idx="4">
                  <c:v>29.2</c:v>
                </c:pt>
                <c:pt idx="6">
                  <c:v>27.524999999999999</c:v>
                </c:pt>
                <c:pt idx="7">
                  <c:v>29.85</c:v>
                </c:pt>
              </c:numCache>
            </c:numRef>
          </c:val>
        </c:ser>
        <c:ser>
          <c:idx val="1"/>
          <c:order val="1"/>
          <c:tx>
            <c:strRef>
              <c:f>'3fact 2niv'!$L$16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none"/>
          </c:marker>
          <c:cat>
            <c:multiLvlStrRef>
              <c:f>'3fact 2niv'!$M$13:$T$14</c:f>
              <c:multiLvlStrCache>
                <c:ptCount val="8"/>
                <c:lvl>
                  <c:pt idx="0">
                    <c:v>Temp.</c:v>
                  </c:pt>
                  <c:pt idx="1">
                    <c:v>Temp.</c:v>
                  </c:pt>
                  <c:pt idx="3">
                    <c:v>Durée</c:v>
                  </c:pt>
                  <c:pt idx="4">
                    <c:v>Durée</c:v>
                  </c:pt>
                  <c:pt idx="6">
                    <c:v>Souche</c:v>
                  </c:pt>
                  <c:pt idx="7">
                    <c:v>Souche</c:v>
                  </c:pt>
                </c:lvl>
                <c:lvl>
                  <c:pt idx="0">
                    <c:v>24°C</c:v>
                  </c:pt>
                  <c:pt idx="1">
                    <c:v>28°C</c:v>
                  </c:pt>
                  <c:pt idx="2">
                    <c:v> </c:v>
                  </c:pt>
                  <c:pt idx="3">
                    <c:v>22h</c:v>
                  </c:pt>
                  <c:pt idx="4">
                    <c:v>24h</c:v>
                  </c:pt>
                  <c:pt idx="5">
                    <c:v> </c:v>
                  </c:pt>
                  <c:pt idx="6">
                    <c:v>SA</c:v>
                  </c:pt>
                  <c:pt idx="7">
                    <c:v>SB</c:v>
                  </c:pt>
                </c:lvl>
              </c:multiLvlStrCache>
            </c:multiLvlStrRef>
          </c:cat>
          <c:val>
            <c:numRef>
              <c:f>'3fact 2niv'!$M$16:$T$16</c:f>
              <c:numCache>
                <c:formatCode>General</c:formatCode>
                <c:ptCount val="8"/>
                <c:pt idx="0">
                  <c:v>28.6875</c:v>
                </c:pt>
                <c:pt idx="1">
                  <c:v>28.6875</c:v>
                </c:pt>
                <c:pt idx="2">
                  <c:v>28.6875</c:v>
                </c:pt>
                <c:pt idx="3">
                  <c:v>28.6875</c:v>
                </c:pt>
                <c:pt idx="4">
                  <c:v>28.6875</c:v>
                </c:pt>
                <c:pt idx="5">
                  <c:v>28.6875</c:v>
                </c:pt>
                <c:pt idx="6">
                  <c:v>28.6875</c:v>
                </c:pt>
                <c:pt idx="7">
                  <c:v>28.6875</c:v>
                </c:pt>
              </c:numCache>
            </c:numRef>
          </c:val>
        </c:ser>
        <c:marker val="1"/>
        <c:axId val="84516864"/>
        <c:axId val="84611072"/>
      </c:lineChart>
      <c:catAx>
        <c:axId val="8451686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4611072"/>
        <c:crosses val="autoZero"/>
        <c:lblAlgn val="ctr"/>
        <c:lblOffset val="100"/>
        <c:tickLblSkip val="1"/>
        <c:tickMarkSkip val="1"/>
      </c:catAx>
      <c:valAx>
        <c:axId val="84611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</a:t>
                </a:r>
              </a:p>
            </c:rich>
          </c:tx>
          <c:layout>
            <c:manualLayout>
              <c:xMode val="edge"/>
              <c:yMode val="edge"/>
              <c:x val="2.944785276073621E-2"/>
              <c:y val="0.3870978206375888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45168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44930196608868"/>
          <c:y val="0.51026541626116961"/>
          <c:w val="0.15705553676956041"/>
          <c:h val="0.26099796514199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A</a:t>
            </a:r>
          </a:p>
        </c:rich>
      </c:tx>
      <c:layout>
        <c:manualLayout>
          <c:xMode val="edge"/>
          <c:yMode val="edge"/>
          <c:x val="0.32072847511708447"/>
          <c:y val="3.5874467304490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224098375762512"/>
          <c:y val="0.14968846285518694"/>
          <c:w val="0.63445432386580969"/>
          <c:h val="0.6216138879379205"/>
        </c:manualLayout>
      </c:layout>
      <c:lineChart>
        <c:grouping val="standard"/>
        <c:ser>
          <c:idx val="0"/>
          <c:order val="0"/>
          <c:tx>
            <c:strRef>
              <c:f>'3fact 2niv'!$N$18:$N$19</c:f>
              <c:strCache>
                <c:ptCount val="1"/>
                <c:pt idx="0">
                  <c:v>Temp. 24°C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'3fact 2niv'!$L$20:$M$24</c:f>
              <c:multiLvlStrCache>
                <c:ptCount val="5"/>
                <c:lvl>
                  <c:pt idx="0">
                    <c:v>Durée</c:v>
                  </c:pt>
                  <c:pt idx="1">
                    <c:v>Durée</c:v>
                  </c:pt>
                  <c:pt idx="3">
                    <c:v>Souche</c:v>
                  </c:pt>
                  <c:pt idx="4">
                    <c:v>Souche</c:v>
                  </c:pt>
                </c:lvl>
                <c:lvl>
                  <c:pt idx="0">
                    <c:v>22h</c:v>
                  </c:pt>
                  <c:pt idx="1">
                    <c:v>24h</c:v>
                  </c:pt>
                  <c:pt idx="2">
                    <c:v> </c:v>
                  </c:pt>
                  <c:pt idx="3">
                    <c:v>SA</c:v>
                  </c:pt>
                  <c:pt idx="4">
                    <c:v>SB</c:v>
                  </c:pt>
                </c:lvl>
              </c:multiLvlStrCache>
            </c:multiLvlStrRef>
          </c:cat>
          <c:val>
            <c:numRef>
              <c:f>'3fact 2niv'!$N$20:$N$24</c:f>
              <c:numCache>
                <c:formatCode>General</c:formatCode>
                <c:ptCount val="5"/>
                <c:pt idx="0">
                  <c:v>28.55</c:v>
                </c:pt>
                <c:pt idx="1">
                  <c:v>28.1</c:v>
                </c:pt>
                <c:pt idx="3">
                  <c:v>28.2</c:v>
                </c:pt>
                <c:pt idx="4">
                  <c:v>28.450000000000003</c:v>
                </c:pt>
              </c:numCache>
            </c:numRef>
          </c:val>
        </c:ser>
        <c:ser>
          <c:idx val="1"/>
          <c:order val="1"/>
          <c:tx>
            <c:strRef>
              <c:f>'3fact 2niv'!$O$18:$O$19</c:f>
              <c:strCache>
                <c:ptCount val="1"/>
                <c:pt idx="0">
                  <c:v>Temp. 28°C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'3fact 2niv'!$L$20:$M$24</c:f>
              <c:multiLvlStrCache>
                <c:ptCount val="5"/>
                <c:lvl>
                  <c:pt idx="0">
                    <c:v>Durée</c:v>
                  </c:pt>
                  <c:pt idx="1">
                    <c:v>Durée</c:v>
                  </c:pt>
                  <c:pt idx="3">
                    <c:v>Souche</c:v>
                  </c:pt>
                  <c:pt idx="4">
                    <c:v>Souche</c:v>
                  </c:pt>
                </c:lvl>
                <c:lvl>
                  <c:pt idx="0">
                    <c:v>22h</c:v>
                  </c:pt>
                  <c:pt idx="1">
                    <c:v>24h</c:v>
                  </c:pt>
                  <c:pt idx="2">
                    <c:v> </c:v>
                  </c:pt>
                  <c:pt idx="3">
                    <c:v>SA</c:v>
                  </c:pt>
                  <c:pt idx="4">
                    <c:v>SB</c:v>
                  </c:pt>
                </c:lvl>
              </c:multiLvlStrCache>
            </c:multiLvlStrRef>
          </c:cat>
          <c:val>
            <c:numRef>
              <c:f>'3fact 2niv'!$O$20:$O$24</c:f>
              <c:numCache>
                <c:formatCode>General</c:formatCode>
                <c:ptCount val="5"/>
                <c:pt idx="0">
                  <c:v>29.85</c:v>
                </c:pt>
                <c:pt idx="1">
                  <c:v>28.25</c:v>
                </c:pt>
                <c:pt idx="3">
                  <c:v>26.85</c:v>
                </c:pt>
                <c:pt idx="4">
                  <c:v>31.25</c:v>
                </c:pt>
              </c:numCache>
            </c:numRef>
          </c:val>
        </c:ser>
        <c:marker val="1"/>
        <c:axId val="89048192"/>
        <c:axId val="89050496"/>
      </c:lineChart>
      <c:catAx>
        <c:axId val="8904819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9050496"/>
        <c:crosses val="autoZero"/>
        <c:lblAlgn val="ctr"/>
        <c:lblOffset val="100"/>
        <c:tickLblSkip val="1"/>
        <c:tickMarkSkip val="1"/>
      </c:catAx>
      <c:valAx>
        <c:axId val="890504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9584937551436553E-2"/>
              <c:y val="0.4035884119039264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90481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335649155110663"/>
          <c:y val="0.58071882143763931"/>
          <c:w val="0.2170366006498147"/>
          <c:h val="0.186099116642678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BC</a:t>
            </a:r>
          </a:p>
        </c:rich>
      </c:tx>
      <c:layout>
        <c:manualLayout>
          <c:xMode val="edge"/>
          <c:yMode val="edge"/>
          <c:x val="0.40896395303528238"/>
          <c:y val="3.7220780928395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112832637981887"/>
          <c:y val="0.15178929639739194"/>
          <c:w val="0.5499347781710493"/>
          <c:h val="0.61027697846359541"/>
        </c:manualLayout>
      </c:layout>
      <c:lineChart>
        <c:grouping val="standard"/>
        <c:ser>
          <c:idx val="0"/>
          <c:order val="0"/>
          <c:tx>
            <c:strRef>
              <c:f>'3fact 2niv'!$N$29:$N$30</c:f>
              <c:strCache>
                <c:ptCount val="1"/>
                <c:pt idx="0">
                  <c:v>Durée 22h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'3fact 2niv'!$L$31:$M$32</c:f>
              <c:multiLvlStrCache>
                <c:ptCount val="2"/>
                <c:lvl>
                  <c:pt idx="0">
                    <c:v>Souche</c:v>
                  </c:pt>
                  <c:pt idx="1">
                    <c:v>Souche</c:v>
                  </c:pt>
                </c:lvl>
                <c:lvl>
                  <c:pt idx="0">
                    <c:v>SA</c:v>
                  </c:pt>
                  <c:pt idx="1">
                    <c:v>SB</c:v>
                  </c:pt>
                </c:lvl>
              </c:multiLvlStrCache>
            </c:multiLvlStrRef>
          </c:cat>
          <c:val>
            <c:numRef>
              <c:f>'3fact 2niv'!$N$31:$N$32</c:f>
              <c:numCache>
                <c:formatCode>General</c:formatCode>
                <c:ptCount val="2"/>
                <c:pt idx="0">
                  <c:v>27.85</c:v>
                </c:pt>
                <c:pt idx="1">
                  <c:v>30.55</c:v>
                </c:pt>
              </c:numCache>
            </c:numRef>
          </c:val>
        </c:ser>
        <c:ser>
          <c:idx val="1"/>
          <c:order val="1"/>
          <c:tx>
            <c:strRef>
              <c:f>'3fact 2niv'!$O$29:$O$30</c:f>
              <c:strCache>
                <c:ptCount val="1"/>
                <c:pt idx="0">
                  <c:v>Durée 24h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'3fact 2niv'!$L$31:$M$32</c:f>
              <c:multiLvlStrCache>
                <c:ptCount val="2"/>
                <c:lvl>
                  <c:pt idx="0">
                    <c:v>Souche</c:v>
                  </c:pt>
                  <c:pt idx="1">
                    <c:v>Souche</c:v>
                  </c:pt>
                </c:lvl>
                <c:lvl>
                  <c:pt idx="0">
                    <c:v>SA</c:v>
                  </c:pt>
                  <c:pt idx="1">
                    <c:v>SB</c:v>
                  </c:pt>
                </c:lvl>
              </c:multiLvlStrCache>
            </c:multiLvlStrRef>
          </c:cat>
          <c:val>
            <c:numRef>
              <c:f>'3fact 2niv'!$O$31:$O$32</c:f>
              <c:numCache>
                <c:formatCode>General</c:formatCode>
                <c:ptCount val="2"/>
                <c:pt idx="0">
                  <c:v>27.2</c:v>
                </c:pt>
                <c:pt idx="1">
                  <c:v>29.15</c:v>
                </c:pt>
              </c:numCache>
            </c:numRef>
          </c:val>
        </c:ser>
        <c:marker val="1"/>
        <c:axId val="90466176"/>
        <c:axId val="90640768"/>
      </c:lineChart>
      <c:catAx>
        <c:axId val="9046617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640768"/>
        <c:crosses val="autoZero"/>
        <c:lblAlgn val="ctr"/>
        <c:lblOffset val="100"/>
        <c:tickLblSkip val="1"/>
        <c:tickMarkSkip val="1"/>
      </c:catAx>
      <c:valAx>
        <c:axId val="90640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6610644257703091E-2"/>
              <c:y val="0.3796542411967290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4661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288501690374384"/>
          <c:y val="0.54094513474832995"/>
          <c:w val="0.24089717578769687"/>
          <c:h val="0.2059560835242429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Graphique des effets moyens</a:t>
            </a:r>
          </a:p>
        </c:rich>
      </c:tx>
      <c:layout>
        <c:manualLayout>
          <c:xMode val="edge"/>
          <c:yMode val="edge"/>
          <c:x val="0.3384784707528346"/>
          <c:y val="3.485830094023057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58656583056342"/>
          <c:y val="0.13002466034140969"/>
          <c:w val="0.68577738005849964"/>
          <c:h val="0.65526940503014885"/>
        </c:manualLayout>
      </c:layout>
      <c:lineChart>
        <c:grouping val="standard"/>
        <c:ser>
          <c:idx val="0"/>
          <c:order val="0"/>
          <c:tx>
            <c:strRef>
              <c:f>'4fact 2niv'!$M$16</c:f>
              <c:strCache>
                <c:ptCount val="1"/>
                <c:pt idx="0">
                  <c:v>Facteur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'4fact 2niv'!$N$14:$X$15</c:f>
              <c:multiLvlStrCache>
                <c:ptCount val="11"/>
                <c:lvl>
                  <c:pt idx="0">
                    <c:v>Temp.</c:v>
                  </c:pt>
                  <c:pt idx="1">
                    <c:v>Temp.</c:v>
                  </c:pt>
                  <c:pt idx="3">
                    <c:v>Durée</c:v>
                  </c:pt>
                  <c:pt idx="4">
                    <c:v>Durée</c:v>
                  </c:pt>
                  <c:pt idx="6">
                    <c:v>Vitesse</c:v>
                  </c:pt>
                  <c:pt idx="7">
                    <c:v>Vitesse</c:v>
                  </c:pt>
                  <c:pt idx="9">
                    <c:v>DIDP</c:v>
                  </c:pt>
                  <c:pt idx="10">
                    <c:v>DIDP</c:v>
                  </c:pt>
                </c:lvl>
                <c:lvl>
                  <c:pt idx="0">
                    <c:v>75°C</c:v>
                  </c:pt>
                  <c:pt idx="1">
                    <c:v>85°C</c:v>
                  </c:pt>
                  <c:pt idx="2">
                    <c:v> </c:v>
                  </c:pt>
                  <c:pt idx="3">
                    <c:v>100 min</c:v>
                  </c:pt>
                  <c:pt idx="4">
                    <c:v>140 min</c:v>
                  </c:pt>
                  <c:pt idx="5">
                    <c:v> </c:v>
                  </c:pt>
                  <c:pt idx="6">
                    <c:v>20 rpm</c:v>
                  </c:pt>
                  <c:pt idx="7">
                    <c:v>40 rpm</c:v>
                  </c:pt>
                  <c:pt idx="8">
                    <c:v> </c:v>
                  </c:pt>
                  <c:pt idx="9">
                    <c:v>40</c:v>
                  </c:pt>
                  <c:pt idx="10">
                    <c:v>50</c:v>
                  </c:pt>
                </c:lvl>
              </c:multiLvlStrCache>
            </c:multiLvlStrRef>
          </c:cat>
          <c:val>
            <c:numRef>
              <c:f>'4fact 2niv'!$N$16:$X$16</c:f>
              <c:numCache>
                <c:formatCode>0.000</c:formatCode>
                <c:ptCount val="11"/>
                <c:pt idx="0">
                  <c:v>140.91249999999999</c:v>
                </c:pt>
                <c:pt idx="1">
                  <c:v>161.25</c:v>
                </c:pt>
                <c:pt idx="3">
                  <c:v>177.16249999999999</c:v>
                </c:pt>
                <c:pt idx="4">
                  <c:v>125</c:v>
                </c:pt>
                <c:pt idx="6">
                  <c:v>156.22499999999999</c:v>
                </c:pt>
                <c:pt idx="7">
                  <c:v>145.9375</c:v>
                </c:pt>
                <c:pt idx="9">
                  <c:v>134.03749999999999</c:v>
                </c:pt>
                <c:pt idx="10">
                  <c:v>168.125</c:v>
                </c:pt>
              </c:numCache>
            </c:numRef>
          </c:val>
        </c:ser>
        <c:ser>
          <c:idx val="1"/>
          <c:order val="1"/>
          <c:tx>
            <c:strRef>
              <c:f>'4fact 2niv'!$M$17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none"/>
          </c:marker>
          <c:cat>
            <c:multiLvlStrRef>
              <c:f>'4fact 2niv'!$N$14:$X$15</c:f>
              <c:multiLvlStrCache>
                <c:ptCount val="11"/>
                <c:lvl>
                  <c:pt idx="0">
                    <c:v>Temp.</c:v>
                  </c:pt>
                  <c:pt idx="1">
                    <c:v>Temp.</c:v>
                  </c:pt>
                  <c:pt idx="3">
                    <c:v>Durée</c:v>
                  </c:pt>
                  <c:pt idx="4">
                    <c:v>Durée</c:v>
                  </c:pt>
                  <c:pt idx="6">
                    <c:v>Vitesse</c:v>
                  </c:pt>
                  <c:pt idx="7">
                    <c:v>Vitesse</c:v>
                  </c:pt>
                  <c:pt idx="9">
                    <c:v>DIDP</c:v>
                  </c:pt>
                  <c:pt idx="10">
                    <c:v>DIDP</c:v>
                  </c:pt>
                </c:lvl>
                <c:lvl>
                  <c:pt idx="0">
                    <c:v>75°C</c:v>
                  </c:pt>
                  <c:pt idx="1">
                    <c:v>85°C</c:v>
                  </c:pt>
                  <c:pt idx="2">
                    <c:v> </c:v>
                  </c:pt>
                  <c:pt idx="3">
                    <c:v>100 min</c:v>
                  </c:pt>
                  <c:pt idx="4">
                    <c:v>140 min</c:v>
                  </c:pt>
                  <c:pt idx="5">
                    <c:v> </c:v>
                  </c:pt>
                  <c:pt idx="6">
                    <c:v>20 rpm</c:v>
                  </c:pt>
                  <c:pt idx="7">
                    <c:v>40 rpm</c:v>
                  </c:pt>
                  <c:pt idx="8">
                    <c:v> </c:v>
                  </c:pt>
                  <c:pt idx="9">
                    <c:v>40</c:v>
                  </c:pt>
                  <c:pt idx="10">
                    <c:v>50</c:v>
                  </c:pt>
                </c:lvl>
              </c:multiLvlStrCache>
            </c:multiLvlStrRef>
          </c:cat>
          <c:val>
            <c:numRef>
              <c:f>'4fact 2niv'!$N$17:$X$17</c:f>
              <c:numCache>
                <c:formatCode>0.000</c:formatCode>
                <c:ptCount val="11"/>
                <c:pt idx="0">
                  <c:v>151.08125000000001</c:v>
                </c:pt>
                <c:pt idx="1">
                  <c:v>151.08125000000001</c:v>
                </c:pt>
                <c:pt idx="2">
                  <c:v>151.08125000000001</c:v>
                </c:pt>
                <c:pt idx="3">
                  <c:v>151.08125000000001</c:v>
                </c:pt>
                <c:pt idx="4">
                  <c:v>151.08125000000001</c:v>
                </c:pt>
                <c:pt idx="5">
                  <c:v>151.08125000000001</c:v>
                </c:pt>
                <c:pt idx="6">
                  <c:v>151.08125000000001</c:v>
                </c:pt>
                <c:pt idx="7">
                  <c:v>151.08125000000001</c:v>
                </c:pt>
                <c:pt idx="8">
                  <c:v>151.08125000000001</c:v>
                </c:pt>
                <c:pt idx="9">
                  <c:v>151.08125000000001</c:v>
                </c:pt>
                <c:pt idx="10">
                  <c:v>151.08125000000001</c:v>
                </c:pt>
              </c:numCache>
            </c:numRef>
          </c:val>
        </c:ser>
        <c:marker val="1"/>
        <c:axId val="137439104"/>
        <c:axId val="141812096"/>
      </c:lineChart>
      <c:catAx>
        <c:axId val="1374391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41812096"/>
        <c:crosses val="autoZero"/>
        <c:lblAlgn val="ctr"/>
        <c:lblOffset val="100"/>
        <c:tickLblSkip val="1"/>
        <c:tickMarkSkip val="1"/>
      </c:catAx>
      <c:valAx>
        <c:axId val="14181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7563391029865939E-2"/>
              <c:y val="0.32461923272249232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91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454253240371735"/>
          <c:y val="0.6688461410678096"/>
          <c:w val="0.13009917675488802"/>
          <c:h val="0.159041591320073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 paperSize="9" orientation="landscape" horizontalDpi="360" verticalDpi="360" copies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A</a:t>
            </a:r>
          </a:p>
        </c:rich>
      </c:tx>
      <c:layout>
        <c:manualLayout>
          <c:xMode val="edge"/>
          <c:yMode val="edge"/>
          <c:x val="0.31494921830423528"/>
          <c:y val="4.14012504054970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20754716981139"/>
          <c:y val="0.13835999243163041"/>
          <c:w val="0.59650276728370311"/>
          <c:h val="0.60070249998787162"/>
        </c:manualLayout>
      </c:layout>
      <c:lineChart>
        <c:grouping val="standard"/>
        <c:ser>
          <c:idx val="0"/>
          <c:order val="0"/>
          <c:tx>
            <c:strRef>
              <c:f>'4fact 2niv'!$O$19:$O$20</c:f>
              <c:strCache>
                <c:ptCount val="1"/>
                <c:pt idx="0">
                  <c:v>Temp. 75°C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'4fact 2niv'!$M$21:$N$28</c:f>
              <c:multiLvlStrCache>
                <c:ptCount val="8"/>
                <c:lvl>
                  <c:pt idx="0">
                    <c:v>Durée</c:v>
                  </c:pt>
                  <c:pt idx="1">
                    <c:v>Durée</c:v>
                  </c:pt>
                  <c:pt idx="3">
                    <c:v>Vitesse</c:v>
                  </c:pt>
                  <c:pt idx="4">
                    <c:v>Vitesse</c:v>
                  </c:pt>
                  <c:pt idx="6">
                    <c:v>DIDP</c:v>
                  </c:pt>
                  <c:pt idx="7">
                    <c:v>DIDP</c:v>
                  </c:pt>
                </c:lvl>
                <c:lvl>
                  <c:pt idx="0">
                    <c:v>100 min</c:v>
                  </c:pt>
                  <c:pt idx="1">
                    <c:v>140 min</c:v>
                  </c:pt>
                  <c:pt idx="2">
                    <c:v> </c:v>
                  </c:pt>
                  <c:pt idx="3">
                    <c:v>20 rpm</c:v>
                  </c:pt>
                  <c:pt idx="4">
                    <c:v>40 rpm</c:v>
                  </c:pt>
                  <c:pt idx="5">
                    <c:v> </c:v>
                  </c:pt>
                  <c:pt idx="6">
                    <c:v>40</c:v>
                  </c:pt>
                  <c:pt idx="7">
                    <c:v>50</c:v>
                  </c:pt>
                </c:lvl>
              </c:multiLvlStrCache>
            </c:multiLvlStrRef>
          </c:cat>
          <c:val>
            <c:numRef>
              <c:f>'4fact 2niv'!$O$21:$O$28</c:f>
              <c:numCache>
                <c:formatCode>General</c:formatCode>
                <c:ptCount val="8"/>
                <c:pt idx="0">
                  <c:v>168.07499999999999</c:v>
                </c:pt>
                <c:pt idx="1">
                  <c:v>113.75</c:v>
                </c:pt>
                <c:pt idx="3">
                  <c:v>144.94999999999999</c:v>
                </c:pt>
                <c:pt idx="4">
                  <c:v>136.875</c:v>
                </c:pt>
                <c:pt idx="6">
                  <c:v>123.7</c:v>
                </c:pt>
                <c:pt idx="7">
                  <c:v>158.125</c:v>
                </c:pt>
              </c:numCache>
            </c:numRef>
          </c:val>
        </c:ser>
        <c:ser>
          <c:idx val="1"/>
          <c:order val="1"/>
          <c:tx>
            <c:strRef>
              <c:f>'4fact 2niv'!$P$19:$P$20</c:f>
              <c:strCache>
                <c:ptCount val="1"/>
                <c:pt idx="0">
                  <c:v>Temp. 85°C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'4fact 2niv'!$M$21:$N$28</c:f>
              <c:multiLvlStrCache>
                <c:ptCount val="8"/>
                <c:lvl>
                  <c:pt idx="0">
                    <c:v>Durée</c:v>
                  </c:pt>
                  <c:pt idx="1">
                    <c:v>Durée</c:v>
                  </c:pt>
                  <c:pt idx="3">
                    <c:v>Vitesse</c:v>
                  </c:pt>
                  <c:pt idx="4">
                    <c:v>Vitesse</c:v>
                  </c:pt>
                  <c:pt idx="6">
                    <c:v>DIDP</c:v>
                  </c:pt>
                  <c:pt idx="7">
                    <c:v>DIDP</c:v>
                  </c:pt>
                </c:lvl>
                <c:lvl>
                  <c:pt idx="0">
                    <c:v>100 min</c:v>
                  </c:pt>
                  <c:pt idx="1">
                    <c:v>140 min</c:v>
                  </c:pt>
                  <c:pt idx="2">
                    <c:v> </c:v>
                  </c:pt>
                  <c:pt idx="3">
                    <c:v>20 rpm</c:v>
                  </c:pt>
                  <c:pt idx="4">
                    <c:v>40 rpm</c:v>
                  </c:pt>
                  <c:pt idx="5">
                    <c:v> </c:v>
                  </c:pt>
                  <c:pt idx="6">
                    <c:v>40</c:v>
                  </c:pt>
                  <c:pt idx="7">
                    <c:v>50</c:v>
                  </c:pt>
                </c:lvl>
              </c:multiLvlStrCache>
            </c:multiLvlStrRef>
          </c:cat>
          <c:val>
            <c:numRef>
              <c:f>'4fact 2niv'!$P$21:$P$28</c:f>
              <c:numCache>
                <c:formatCode>General</c:formatCode>
                <c:ptCount val="8"/>
                <c:pt idx="0">
                  <c:v>186.25</c:v>
                </c:pt>
                <c:pt idx="1">
                  <c:v>136.25</c:v>
                </c:pt>
                <c:pt idx="3">
                  <c:v>167.5</c:v>
                </c:pt>
                <c:pt idx="4">
                  <c:v>155</c:v>
                </c:pt>
                <c:pt idx="6">
                  <c:v>144.375</c:v>
                </c:pt>
                <c:pt idx="7">
                  <c:v>178.125</c:v>
                </c:pt>
              </c:numCache>
            </c:numRef>
          </c:val>
        </c:ser>
        <c:marker val="1"/>
        <c:axId val="154785664"/>
        <c:axId val="57516032"/>
      </c:lineChart>
      <c:catAx>
        <c:axId val="15478566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516032"/>
        <c:crosses val="autoZero"/>
        <c:lblAlgn val="ctr"/>
        <c:lblOffset val="100"/>
        <c:tickLblSkip val="1"/>
        <c:tickMarkSkip val="1"/>
      </c:catAx>
      <c:valAx>
        <c:axId val="57516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6124805051542473E-2"/>
              <c:y val="0.251592251811220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547856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341445400444261"/>
          <c:y val="0.31210199848614428"/>
          <c:w val="0.2506202427438643"/>
          <c:h val="0.149681500486596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B</a:t>
            </a:r>
          </a:p>
        </c:rich>
      </c:tx>
      <c:layout>
        <c:manualLayout>
          <c:xMode val="edge"/>
          <c:yMode val="edge"/>
          <c:x val="0.30448266335129598"/>
          <c:y val="4.347822960486103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055655069282058"/>
          <c:y val="0.1777268265587999"/>
          <c:w val="0.55490006075896048"/>
          <c:h val="0.48526160023574688"/>
        </c:manualLayout>
      </c:layout>
      <c:lineChart>
        <c:grouping val="standard"/>
        <c:ser>
          <c:idx val="0"/>
          <c:order val="0"/>
          <c:tx>
            <c:strRef>
              <c:f>'4fact 2niv'!$T$37:$T$38</c:f>
              <c:strCache>
                <c:ptCount val="1"/>
                <c:pt idx="0">
                  <c:v>Durée 100 min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'4fact 2niv'!$R$39:$S$43</c:f>
              <c:multiLvlStrCache>
                <c:ptCount val="5"/>
                <c:lvl>
                  <c:pt idx="0">
                    <c:v>Vitesse</c:v>
                  </c:pt>
                  <c:pt idx="1">
                    <c:v>Vitesse</c:v>
                  </c:pt>
                  <c:pt idx="3">
                    <c:v>DIDP</c:v>
                  </c:pt>
                  <c:pt idx="4">
                    <c:v>DIDP</c:v>
                  </c:pt>
                </c:lvl>
                <c:lvl>
                  <c:pt idx="0">
                    <c:v>20 rpm</c:v>
                  </c:pt>
                  <c:pt idx="1">
                    <c:v>40 rpm</c:v>
                  </c:pt>
                  <c:pt idx="2">
                    <c:v> </c:v>
                  </c:pt>
                  <c:pt idx="3">
                    <c:v>40</c:v>
                  </c:pt>
                  <c:pt idx="4">
                    <c:v>50</c:v>
                  </c:pt>
                </c:lvl>
              </c:multiLvlStrCache>
            </c:multiLvlStrRef>
          </c:cat>
          <c:val>
            <c:numRef>
              <c:f>'4fact 2niv'!$T$39:$T$43</c:f>
              <c:numCache>
                <c:formatCode>General</c:formatCode>
                <c:ptCount val="5"/>
                <c:pt idx="0">
                  <c:v>182.45</c:v>
                </c:pt>
                <c:pt idx="1">
                  <c:v>171.875</c:v>
                </c:pt>
                <c:pt idx="3">
                  <c:v>160.57499999999999</c:v>
                </c:pt>
                <c:pt idx="4">
                  <c:v>193.75</c:v>
                </c:pt>
              </c:numCache>
            </c:numRef>
          </c:val>
        </c:ser>
        <c:ser>
          <c:idx val="1"/>
          <c:order val="1"/>
          <c:tx>
            <c:strRef>
              <c:f>'4fact 2niv'!$U$37:$U$38</c:f>
              <c:strCache>
                <c:ptCount val="1"/>
                <c:pt idx="0">
                  <c:v>Durée 140 min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'4fact 2niv'!$R$39:$S$43</c:f>
              <c:multiLvlStrCache>
                <c:ptCount val="5"/>
                <c:lvl>
                  <c:pt idx="0">
                    <c:v>Vitesse</c:v>
                  </c:pt>
                  <c:pt idx="1">
                    <c:v>Vitesse</c:v>
                  </c:pt>
                  <c:pt idx="3">
                    <c:v>DIDP</c:v>
                  </c:pt>
                  <c:pt idx="4">
                    <c:v>DIDP</c:v>
                  </c:pt>
                </c:lvl>
                <c:lvl>
                  <c:pt idx="0">
                    <c:v>20 rpm</c:v>
                  </c:pt>
                  <c:pt idx="1">
                    <c:v>40 rpm</c:v>
                  </c:pt>
                  <c:pt idx="2">
                    <c:v> </c:v>
                  </c:pt>
                  <c:pt idx="3">
                    <c:v>40</c:v>
                  </c:pt>
                  <c:pt idx="4">
                    <c:v>50</c:v>
                  </c:pt>
                </c:lvl>
              </c:multiLvlStrCache>
            </c:multiLvlStrRef>
          </c:cat>
          <c:val>
            <c:numRef>
              <c:f>'4fact 2niv'!$U$39:$U$43</c:f>
              <c:numCache>
                <c:formatCode>General</c:formatCode>
                <c:ptCount val="5"/>
                <c:pt idx="0">
                  <c:v>130</c:v>
                </c:pt>
                <c:pt idx="1">
                  <c:v>120</c:v>
                </c:pt>
                <c:pt idx="3">
                  <c:v>107.5</c:v>
                </c:pt>
                <c:pt idx="4">
                  <c:v>142.5</c:v>
                </c:pt>
              </c:numCache>
            </c:numRef>
          </c:val>
        </c:ser>
        <c:marker val="1"/>
        <c:axId val="57540992"/>
        <c:axId val="57542912"/>
      </c:lineChart>
      <c:catAx>
        <c:axId val="5754099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542912"/>
        <c:crosses val="autoZero"/>
        <c:lblAlgn val="ctr"/>
        <c:lblOffset val="100"/>
        <c:tickLblSkip val="1"/>
        <c:tickMarkSkip val="1"/>
      </c:catAx>
      <c:valAx>
        <c:axId val="57542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7820636792870591E-2"/>
              <c:y val="0.267558695574014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54099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323264705589395"/>
          <c:y val="0.30434796677812531"/>
          <c:w val="0.26822146285379289"/>
          <c:h val="0.277592133175133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CD</a:t>
            </a:r>
          </a:p>
        </c:rich>
      </c:tx>
      <c:layout>
        <c:manualLayout>
          <c:xMode val="edge"/>
          <c:yMode val="edge"/>
          <c:x val="0.38256235803633565"/>
          <c:y val="4.19579905452994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879006573335714"/>
          <c:y val="0.19273304220570842"/>
          <c:w val="0.52828594440336329"/>
          <c:h val="0.56419598045049602"/>
        </c:manualLayout>
      </c:layout>
      <c:lineChart>
        <c:grouping val="standard"/>
        <c:ser>
          <c:idx val="0"/>
          <c:order val="0"/>
          <c:tx>
            <c:strRef>
              <c:f>'4fact 2niv'!$Q$50:$Q$51</c:f>
              <c:strCache>
                <c:ptCount val="1"/>
                <c:pt idx="0">
                  <c:v>Vitesse 20 rpm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'4fact 2niv'!$O$52:$P$53</c:f>
              <c:multiLvlStrCache>
                <c:ptCount val="2"/>
                <c:lvl>
                  <c:pt idx="0">
                    <c:v>DIDP</c:v>
                  </c:pt>
                  <c:pt idx="1">
                    <c:v>DIDP</c:v>
                  </c:pt>
                </c:lvl>
                <c:lvl>
                  <c:pt idx="0">
                    <c:v>40</c:v>
                  </c:pt>
                  <c:pt idx="1">
                    <c:v>50</c:v>
                  </c:pt>
                </c:lvl>
              </c:multiLvlStrCache>
            </c:multiLvlStrRef>
          </c:cat>
          <c:val>
            <c:numRef>
              <c:f>'4fact 2niv'!$Q$52:$Q$53</c:f>
              <c:numCache>
                <c:formatCode>General</c:formatCode>
                <c:ptCount val="2"/>
                <c:pt idx="0">
                  <c:v>138.69999999999999</c:v>
                </c:pt>
                <c:pt idx="1">
                  <c:v>173.75</c:v>
                </c:pt>
              </c:numCache>
            </c:numRef>
          </c:val>
        </c:ser>
        <c:ser>
          <c:idx val="1"/>
          <c:order val="1"/>
          <c:tx>
            <c:strRef>
              <c:f>'4fact 2niv'!$R$50:$R$51</c:f>
              <c:strCache>
                <c:ptCount val="1"/>
                <c:pt idx="0">
                  <c:v>Vitesse 40 rpm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'4fact 2niv'!$O$52:$P$53</c:f>
              <c:multiLvlStrCache>
                <c:ptCount val="2"/>
                <c:lvl>
                  <c:pt idx="0">
                    <c:v>DIDP</c:v>
                  </c:pt>
                  <c:pt idx="1">
                    <c:v>DIDP</c:v>
                  </c:pt>
                </c:lvl>
                <c:lvl>
                  <c:pt idx="0">
                    <c:v>40</c:v>
                  </c:pt>
                  <c:pt idx="1">
                    <c:v>50</c:v>
                  </c:pt>
                </c:lvl>
              </c:multiLvlStrCache>
            </c:multiLvlStrRef>
          </c:cat>
          <c:val>
            <c:numRef>
              <c:f>'4fact 2niv'!$R$52:$R$53</c:f>
              <c:numCache>
                <c:formatCode>General</c:formatCode>
                <c:ptCount val="2"/>
                <c:pt idx="0">
                  <c:v>129.375</c:v>
                </c:pt>
                <c:pt idx="1">
                  <c:v>162.5</c:v>
                </c:pt>
              </c:numCache>
            </c:numRef>
          </c:val>
        </c:ser>
        <c:marker val="1"/>
        <c:axId val="57559680"/>
        <c:axId val="57574144"/>
      </c:lineChart>
      <c:catAx>
        <c:axId val="5755968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574144"/>
        <c:crosses val="autoZero"/>
        <c:lblAlgn val="ctr"/>
        <c:lblOffset val="100"/>
        <c:tickLblSkip val="1"/>
        <c:tickMarkSkip val="1"/>
      </c:catAx>
      <c:valAx>
        <c:axId val="57574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3.2028415694336995E-2"/>
              <c:y val="0.3181822860377774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5596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501075660456838"/>
          <c:y val="0.30769278840144981"/>
          <c:w val="0.24363723600600673"/>
          <c:h val="0.290210414874613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156" footer="0.4921259845000015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gif"/><Relationship Id="rId5" Type="http://schemas.openxmlformats.org/officeDocument/2006/relationships/hyperlink" Target="http://www.r-project.org/" TargetMode="Externa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image" Target="../media/image2.gif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hyperlink" Target="http://www.r-project.org/" TargetMode="External"/><Relationship Id="rId5" Type="http://schemas.openxmlformats.org/officeDocument/2006/relationships/image" Target="../media/image1.png"/><Relationship Id="rId4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gif"/><Relationship Id="rId3" Type="http://schemas.openxmlformats.org/officeDocument/2006/relationships/chart" Target="../charts/chart8.xml"/><Relationship Id="rId7" Type="http://schemas.openxmlformats.org/officeDocument/2006/relationships/hyperlink" Target="http://www.r-project.org/" TargetMode="Externa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image" Target="../media/image1.png"/><Relationship Id="rId5" Type="http://schemas.openxmlformats.org/officeDocument/2006/relationships/hyperlink" Target="http://www.anastats.fr/" TargetMode="Externa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-project.org/" TargetMode="External"/><Relationship Id="rId3" Type="http://schemas.openxmlformats.org/officeDocument/2006/relationships/chart" Target="../charts/chart12.xml"/><Relationship Id="rId7" Type="http://schemas.openxmlformats.org/officeDocument/2006/relationships/image" Target="../media/image1.png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hyperlink" Target="http://www.anastats.fr/" TargetMode="Externa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image" Target="../media/image2.gif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chart" Target="../charts/chart17.xml"/><Relationship Id="rId7" Type="http://schemas.openxmlformats.org/officeDocument/2006/relationships/hyperlink" Target="http://www.anastats.fr/" TargetMode="Externa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10" Type="http://schemas.openxmlformats.org/officeDocument/2006/relationships/image" Target="../media/image2.gif"/><Relationship Id="rId4" Type="http://schemas.openxmlformats.org/officeDocument/2006/relationships/chart" Target="../charts/chart18.xml"/><Relationship Id="rId9" Type="http://schemas.openxmlformats.org/officeDocument/2006/relationships/hyperlink" Target="http://www.r-project.or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480060</xdr:colOff>
      <xdr:row>0</xdr:row>
      <xdr:rowOff>38100</xdr:rowOff>
    </xdr:from>
    <xdr:to>
      <xdr:col>5</xdr:col>
      <xdr:colOff>234699</xdr:colOff>
      <xdr:row>0</xdr:row>
      <xdr:rowOff>419101</xdr:rowOff>
    </xdr:to>
    <xdr:pic>
      <xdr:nvPicPr>
        <xdr:cNvPr id="4" name="Image 3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148840" y="3810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2689</xdr:colOff>
      <xdr:row>2</xdr:row>
      <xdr:rowOff>143435</xdr:rowOff>
    </xdr:from>
    <xdr:to>
      <xdr:col>18</xdr:col>
      <xdr:colOff>358140</xdr:colOff>
      <xdr:row>18</xdr:row>
      <xdr:rowOff>121920</xdr:rowOff>
    </xdr:to>
    <xdr:graphicFrame macro="">
      <xdr:nvGraphicFramePr>
        <xdr:cNvPr id="207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10</xdr:col>
      <xdr:colOff>0</xdr:colOff>
      <xdr:row>18</xdr:row>
      <xdr:rowOff>144780</xdr:rowOff>
    </xdr:from>
    <xdr:to>
      <xdr:col>17</xdr:col>
      <xdr:colOff>548640</xdr:colOff>
      <xdr:row>32</xdr:row>
      <xdr:rowOff>71718</xdr:rowOff>
    </xdr:to>
    <xdr:graphicFrame macro="">
      <xdr:nvGraphicFramePr>
        <xdr:cNvPr id="207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0</xdr:col>
      <xdr:colOff>98615</xdr:colOff>
      <xdr:row>0</xdr:row>
      <xdr:rowOff>71720</xdr:rowOff>
    </xdr:from>
    <xdr:to>
      <xdr:col>1</xdr:col>
      <xdr:colOff>407721</xdr:colOff>
      <xdr:row>2</xdr:row>
      <xdr:rowOff>76203</xdr:rowOff>
    </xdr:to>
    <xdr:pic>
      <xdr:nvPicPr>
        <xdr:cNvPr id="4" name="Image 3" descr="AnaStats_base-line moyen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8615" y="71720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7</xdr:col>
      <xdr:colOff>537900</xdr:colOff>
      <xdr:row>43</xdr:row>
      <xdr:rowOff>0</xdr:rowOff>
    </xdr:from>
    <xdr:to>
      <xdr:col>7</xdr:col>
      <xdr:colOff>785221</xdr:colOff>
      <xdr:row>44</xdr:row>
      <xdr:rowOff>8965</xdr:rowOff>
    </xdr:to>
    <xdr:pic>
      <xdr:nvPicPr>
        <xdr:cNvPr id="5" name="Image 4" descr="Logo-R_fondTransparent.gif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75947" y="7808259"/>
          <a:ext cx="247321" cy="1882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640078</xdr:colOff>
      <xdr:row>4</xdr:row>
      <xdr:rowOff>21771</xdr:rowOff>
    </xdr:from>
    <xdr:to>
      <xdr:col>23</xdr:col>
      <xdr:colOff>526868</xdr:colOff>
      <xdr:row>19</xdr:row>
      <xdr:rowOff>136071</xdr:rowOff>
    </xdr:to>
    <xdr:graphicFrame macro="">
      <xdr:nvGraphicFramePr>
        <xdr:cNvPr id="31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10</xdr:col>
      <xdr:colOff>654232</xdr:colOff>
      <xdr:row>19</xdr:row>
      <xdr:rowOff>143690</xdr:rowOff>
    </xdr:from>
    <xdr:to>
      <xdr:col>22</xdr:col>
      <xdr:colOff>563881</xdr:colOff>
      <xdr:row>37</xdr:row>
      <xdr:rowOff>105590</xdr:rowOff>
    </xdr:to>
    <xdr:graphicFrame macro="">
      <xdr:nvGraphicFramePr>
        <xdr:cNvPr id="310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661851</xdr:colOff>
      <xdr:row>37</xdr:row>
      <xdr:rowOff>108857</xdr:rowOff>
    </xdr:from>
    <xdr:to>
      <xdr:col>22</xdr:col>
      <xdr:colOff>32658</xdr:colOff>
      <xdr:row>53</xdr:row>
      <xdr:rowOff>174172</xdr:rowOff>
    </xdr:to>
    <xdr:graphicFrame macro="">
      <xdr:nvGraphicFramePr>
        <xdr:cNvPr id="3108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108860</xdr:colOff>
      <xdr:row>0</xdr:row>
      <xdr:rowOff>97969</xdr:rowOff>
    </xdr:from>
    <xdr:to>
      <xdr:col>1</xdr:col>
      <xdr:colOff>382748</xdr:colOff>
      <xdr:row>2</xdr:row>
      <xdr:rowOff>76199</xdr:rowOff>
    </xdr:to>
    <xdr:pic>
      <xdr:nvPicPr>
        <xdr:cNvPr id="5" name="Image 4" descr="AnaStats_base-line moye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8860" y="97969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7</xdr:col>
      <xdr:colOff>618585</xdr:colOff>
      <xdr:row>69</xdr:row>
      <xdr:rowOff>0</xdr:rowOff>
    </xdr:from>
    <xdr:to>
      <xdr:col>7</xdr:col>
      <xdr:colOff>865906</xdr:colOff>
      <xdr:row>70</xdr:row>
      <xdr:rowOff>8965</xdr:rowOff>
    </xdr:to>
    <xdr:pic>
      <xdr:nvPicPr>
        <xdr:cNvPr id="6" name="Image 5" descr="Logo-R_fondTransparent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8489597" y="13438094"/>
          <a:ext cx="247321" cy="1882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521746</xdr:colOff>
      <xdr:row>4</xdr:row>
      <xdr:rowOff>4931</xdr:rowOff>
    </xdr:from>
    <xdr:to>
      <xdr:col>26</xdr:col>
      <xdr:colOff>133125</xdr:colOff>
      <xdr:row>25</xdr:row>
      <xdr:rowOff>126851</xdr:rowOff>
    </xdr:to>
    <xdr:graphicFrame macro="">
      <xdr:nvGraphicFramePr>
        <xdr:cNvPr id="41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11</xdr:col>
      <xdr:colOff>523089</xdr:colOff>
      <xdr:row>25</xdr:row>
      <xdr:rowOff>142091</xdr:rowOff>
    </xdr:from>
    <xdr:to>
      <xdr:col>25</xdr:col>
      <xdr:colOff>609600</xdr:colOff>
      <xdr:row>48</xdr:row>
      <xdr:rowOff>149711</xdr:rowOff>
    </xdr:to>
    <xdr:graphicFrame macro="">
      <xdr:nvGraphicFramePr>
        <xdr:cNvPr id="4153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11</xdr:col>
      <xdr:colOff>520402</xdr:colOff>
      <xdr:row>48</xdr:row>
      <xdr:rowOff>158675</xdr:rowOff>
    </xdr:from>
    <xdr:to>
      <xdr:col>24</xdr:col>
      <xdr:colOff>450030</xdr:colOff>
      <xdr:row>63</xdr:row>
      <xdr:rowOff>299421</xdr:rowOff>
    </xdr:to>
    <xdr:graphicFrame macro="">
      <xdr:nvGraphicFramePr>
        <xdr:cNvPr id="4154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11</xdr:col>
      <xdr:colOff>521746</xdr:colOff>
      <xdr:row>63</xdr:row>
      <xdr:rowOff>174812</xdr:rowOff>
    </xdr:from>
    <xdr:to>
      <xdr:col>24</xdr:col>
      <xdr:colOff>89647</xdr:colOff>
      <xdr:row>79</xdr:row>
      <xdr:rowOff>14792</xdr:rowOff>
    </xdr:to>
    <xdr:graphicFrame macro="">
      <xdr:nvGraphicFramePr>
        <xdr:cNvPr id="4155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 editAs="oneCell">
    <xdr:from>
      <xdr:col>0</xdr:col>
      <xdr:colOff>80685</xdr:colOff>
      <xdr:row>0</xdr:row>
      <xdr:rowOff>89644</xdr:rowOff>
    </xdr:from>
    <xdr:to>
      <xdr:col>1</xdr:col>
      <xdr:colOff>416685</xdr:colOff>
      <xdr:row>2</xdr:row>
      <xdr:rowOff>94127</xdr:rowOff>
    </xdr:to>
    <xdr:pic>
      <xdr:nvPicPr>
        <xdr:cNvPr id="7" name="Image 6" descr="AnaStats_base-line moyen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0685" y="89644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6</xdr:col>
      <xdr:colOff>726165</xdr:colOff>
      <xdr:row>121</xdr:row>
      <xdr:rowOff>0</xdr:rowOff>
    </xdr:from>
    <xdr:to>
      <xdr:col>6</xdr:col>
      <xdr:colOff>973486</xdr:colOff>
      <xdr:row>122</xdr:row>
      <xdr:rowOff>8965</xdr:rowOff>
    </xdr:to>
    <xdr:pic>
      <xdr:nvPicPr>
        <xdr:cNvPr id="8" name="Image 7" descr="Logo-R_fondTransparent.gif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7996541" y="21344965"/>
          <a:ext cx="247321" cy="1882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702126</xdr:colOff>
      <xdr:row>2</xdr:row>
      <xdr:rowOff>119743</xdr:rowOff>
    </xdr:from>
    <xdr:to>
      <xdr:col>29</xdr:col>
      <xdr:colOff>619396</xdr:colOff>
      <xdr:row>18</xdr:row>
      <xdr:rowOff>144780</xdr:rowOff>
    </xdr:to>
    <xdr:graphicFrame macro="">
      <xdr:nvGraphicFramePr>
        <xdr:cNvPr id="516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12</xdr:col>
      <xdr:colOff>705394</xdr:colOff>
      <xdr:row>18</xdr:row>
      <xdr:rowOff>153489</xdr:rowOff>
    </xdr:from>
    <xdr:to>
      <xdr:col>27</xdr:col>
      <xdr:colOff>264523</xdr:colOff>
      <xdr:row>34</xdr:row>
      <xdr:rowOff>100149</xdr:rowOff>
    </xdr:to>
    <xdr:graphicFrame macro="">
      <xdr:nvGraphicFramePr>
        <xdr:cNvPr id="51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12</xdr:col>
      <xdr:colOff>705395</xdr:colOff>
      <xdr:row>34</xdr:row>
      <xdr:rowOff>104503</xdr:rowOff>
    </xdr:from>
    <xdr:to>
      <xdr:col>25</xdr:col>
      <xdr:colOff>295003</xdr:colOff>
      <xdr:row>51</xdr:row>
      <xdr:rowOff>28303</xdr:rowOff>
    </xdr:to>
    <xdr:graphicFrame macro="">
      <xdr:nvGraphicFramePr>
        <xdr:cNvPr id="516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12</xdr:col>
      <xdr:colOff>713014</xdr:colOff>
      <xdr:row>51</xdr:row>
      <xdr:rowOff>43543</xdr:rowOff>
    </xdr:from>
    <xdr:to>
      <xdr:col>23</xdr:col>
      <xdr:colOff>295004</xdr:colOff>
      <xdr:row>63</xdr:row>
      <xdr:rowOff>37012</xdr:rowOff>
    </xdr:to>
    <xdr:graphicFrame macro="">
      <xdr:nvGraphicFramePr>
        <xdr:cNvPr id="516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12</xdr:col>
      <xdr:colOff>723899</xdr:colOff>
      <xdr:row>63</xdr:row>
      <xdr:rowOff>57694</xdr:rowOff>
    </xdr:from>
    <xdr:to>
      <xdr:col>21</xdr:col>
      <xdr:colOff>313508</xdr:colOff>
      <xdr:row>75</xdr:row>
      <xdr:rowOff>141514</xdr:rowOff>
    </xdr:to>
    <xdr:graphicFrame macro="">
      <xdr:nvGraphicFramePr>
        <xdr:cNvPr id="516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 editAs="oneCell">
    <xdr:from>
      <xdr:col>0</xdr:col>
      <xdr:colOff>87088</xdr:colOff>
      <xdr:row>0</xdr:row>
      <xdr:rowOff>65316</xdr:rowOff>
    </xdr:from>
    <xdr:to>
      <xdr:col>1</xdr:col>
      <xdr:colOff>415404</xdr:colOff>
      <xdr:row>2</xdr:row>
      <xdr:rowOff>76203</xdr:rowOff>
    </xdr:to>
    <xdr:pic>
      <xdr:nvPicPr>
        <xdr:cNvPr id="8" name="Image 7" descr="AnaStats_base-line moyen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87088" y="65316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9</xdr:col>
      <xdr:colOff>600655</xdr:colOff>
      <xdr:row>216</xdr:row>
      <xdr:rowOff>0</xdr:rowOff>
    </xdr:from>
    <xdr:to>
      <xdr:col>9</xdr:col>
      <xdr:colOff>847976</xdr:colOff>
      <xdr:row>217</xdr:row>
      <xdr:rowOff>8965</xdr:rowOff>
    </xdr:to>
    <xdr:pic>
      <xdr:nvPicPr>
        <xdr:cNvPr id="9" name="Image 8" descr="Logo-R_fondTransparent.gif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9305384" y="37311106"/>
          <a:ext cx="247321" cy="1882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723900</xdr:colOff>
      <xdr:row>2</xdr:row>
      <xdr:rowOff>108858</xdr:rowOff>
    </xdr:from>
    <xdr:to>
      <xdr:col>33</xdr:col>
      <xdr:colOff>272143</xdr:colOff>
      <xdr:row>18</xdr:row>
      <xdr:rowOff>144781</xdr:rowOff>
    </xdr:to>
    <xdr:graphicFrame macro="">
      <xdr:nvGraphicFramePr>
        <xdr:cNvPr id="619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13</xdr:col>
      <xdr:colOff>713016</xdr:colOff>
      <xdr:row>18</xdr:row>
      <xdr:rowOff>156754</xdr:rowOff>
    </xdr:from>
    <xdr:to>
      <xdr:col>30</xdr:col>
      <xdr:colOff>275410</xdr:colOff>
      <xdr:row>37</xdr:row>
      <xdr:rowOff>50074</xdr:rowOff>
    </xdr:to>
    <xdr:graphicFrame macro="">
      <xdr:nvGraphicFramePr>
        <xdr:cNvPr id="619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13</xdr:col>
      <xdr:colOff>716280</xdr:colOff>
      <xdr:row>37</xdr:row>
      <xdr:rowOff>65314</xdr:rowOff>
    </xdr:from>
    <xdr:to>
      <xdr:col>28</xdr:col>
      <xdr:colOff>391886</xdr:colOff>
      <xdr:row>54</xdr:row>
      <xdr:rowOff>50074</xdr:rowOff>
    </xdr:to>
    <xdr:graphicFrame macro="">
      <xdr:nvGraphicFramePr>
        <xdr:cNvPr id="619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13</xdr:col>
      <xdr:colOff>731521</xdr:colOff>
      <xdr:row>54</xdr:row>
      <xdr:rowOff>60961</xdr:rowOff>
    </xdr:from>
    <xdr:to>
      <xdr:col>27</xdr:col>
      <xdr:colOff>273233</xdr:colOff>
      <xdr:row>70</xdr:row>
      <xdr:rowOff>99061</xdr:rowOff>
    </xdr:to>
    <xdr:graphicFrame macro="">
      <xdr:nvGraphicFramePr>
        <xdr:cNvPr id="619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13</xdr:col>
      <xdr:colOff>726077</xdr:colOff>
      <xdr:row>70</xdr:row>
      <xdr:rowOff>107769</xdr:rowOff>
    </xdr:from>
    <xdr:to>
      <xdr:col>25</xdr:col>
      <xdr:colOff>82733</xdr:colOff>
      <xdr:row>84</xdr:row>
      <xdr:rowOff>145869</xdr:rowOff>
    </xdr:to>
    <xdr:graphicFrame macro="">
      <xdr:nvGraphicFramePr>
        <xdr:cNvPr id="620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13</xdr:col>
      <xdr:colOff>730432</xdr:colOff>
      <xdr:row>84</xdr:row>
      <xdr:rowOff>145869</xdr:rowOff>
    </xdr:from>
    <xdr:to>
      <xdr:col>24</xdr:col>
      <xdr:colOff>102326</xdr:colOff>
      <xdr:row>98</xdr:row>
      <xdr:rowOff>32657</xdr:rowOff>
    </xdr:to>
    <xdr:graphicFrame macro="">
      <xdr:nvGraphicFramePr>
        <xdr:cNvPr id="620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 editAs="oneCell">
    <xdr:from>
      <xdr:col>0</xdr:col>
      <xdr:colOff>97974</xdr:colOff>
      <xdr:row>0</xdr:row>
      <xdr:rowOff>65316</xdr:rowOff>
    </xdr:from>
    <xdr:to>
      <xdr:col>1</xdr:col>
      <xdr:colOff>426290</xdr:colOff>
      <xdr:row>2</xdr:row>
      <xdr:rowOff>76203</xdr:rowOff>
    </xdr:to>
    <xdr:pic>
      <xdr:nvPicPr>
        <xdr:cNvPr id="9" name="Image 8" descr="AnaStats_base-line moyen.png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97974" y="65316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9</xdr:col>
      <xdr:colOff>788920</xdr:colOff>
      <xdr:row>407</xdr:row>
      <xdr:rowOff>0</xdr:rowOff>
    </xdr:from>
    <xdr:to>
      <xdr:col>9</xdr:col>
      <xdr:colOff>1036241</xdr:colOff>
      <xdr:row>408</xdr:row>
      <xdr:rowOff>8965</xdr:rowOff>
    </xdr:to>
    <xdr:pic>
      <xdr:nvPicPr>
        <xdr:cNvPr id="10" name="Image 9" descr="Logo-R_fondTransparent.gif">
          <a:hlinkClick xmlns:r="http://schemas.openxmlformats.org/officeDocument/2006/relationships" r:id="rId9"/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8677861" y="70552235"/>
          <a:ext cx="247321" cy="1882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anastats.f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anastats.f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anastats.fr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info@anastats.f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anastats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A57"/>
  <sheetViews>
    <sheetView workbookViewId="0">
      <selection activeCell="B2" sqref="B2:G2"/>
    </sheetView>
  </sheetViews>
  <sheetFormatPr baseColWidth="10" defaultRowHeight="13.2"/>
  <cols>
    <col min="1" max="1" width="5.6640625" style="54" customWidth="1"/>
    <col min="2" max="2" width="7.109375" style="54" customWidth="1"/>
    <col min="3" max="4" width="11.5546875" style="54"/>
    <col min="5" max="5" width="13" style="54" customWidth="1"/>
    <col min="6" max="6" width="10.109375" style="54" customWidth="1"/>
    <col min="7" max="7" width="24.21875" style="54" customWidth="1"/>
    <col min="8" max="8" width="13" style="54" customWidth="1"/>
    <col min="9" max="27" width="12.44140625" style="54" hidden="1" customWidth="1"/>
    <col min="28" max="16384" width="11.5546875" style="54"/>
  </cols>
  <sheetData>
    <row r="1" spans="2:7" ht="40.799999999999997" customHeight="1"/>
    <row r="2" spans="2:7" ht="16.2">
      <c r="B2" s="265" t="s">
        <v>82</v>
      </c>
      <c r="C2" s="265"/>
      <c r="D2" s="265"/>
      <c r="E2" s="265"/>
      <c r="F2" s="265"/>
      <c r="G2" s="265"/>
    </row>
    <row r="4" spans="2:7" ht="14.4">
      <c r="B4" s="227" t="s">
        <v>168</v>
      </c>
    </row>
    <row r="5" spans="2:7" ht="14.4">
      <c r="B5" s="227" t="s">
        <v>83</v>
      </c>
    </row>
    <row r="6" spans="2:7" ht="14.4">
      <c r="B6" s="227" t="s">
        <v>172</v>
      </c>
    </row>
    <row r="7" spans="2:7" ht="14.4">
      <c r="B7" s="227" t="s">
        <v>84</v>
      </c>
    </row>
    <row r="8" spans="2:7" ht="14.4">
      <c r="B8" s="227"/>
    </row>
    <row r="9" spans="2:7" ht="14.4">
      <c r="B9" s="227" t="s">
        <v>169</v>
      </c>
    </row>
    <row r="10" spans="2:7" ht="14.4">
      <c r="B10" s="227" t="s">
        <v>170</v>
      </c>
    </row>
    <row r="11" spans="2:7" ht="14.4">
      <c r="B11" s="227" t="s">
        <v>139</v>
      </c>
    </row>
    <row r="12" spans="2:7" ht="14.4">
      <c r="B12" s="227" t="s">
        <v>173</v>
      </c>
    </row>
    <row r="13" spans="2:7" ht="14.4">
      <c r="B13" s="227" t="s">
        <v>174</v>
      </c>
    </row>
    <row r="14" spans="2:7" ht="14.4">
      <c r="B14" s="227" t="s">
        <v>221</v>
      </c>
    </row>
    <row r="15" spans="2:7" ht="14.4">
      <c r="B15" s="227" t="s">
        <v>220</v>
      </c>
    </row>
    <row r="16" spans="2:7" ht="14.4">
      <c r="B16" s="227"/>
    </row>
    <row r="17" spans="2:27" ht="14.4">
      <c r="B17" s="227" t="s">
        <v>171</v>
      </c>
    </row>
    <row r="18" spans="2:27" ht="14.4">
      <c r="B18" s="227" t="s">
        <v>87</v>
      </c>
    </row>
    <row r="19" spans="2:27">
      <c r="B19" s="224" t="str">
        <f>IF(J21&gt;0,"ATTENTION : il ne peut y avoir de facteur à un seul niveau","")</f>
        <v/>
      </c>
    </row>
    <row r="20" spans="2:27">
      <c r="B20" s="224" t="str">
        <f>IF(J22&gt;0,"ATTENTION : le nombre maximal de niveaux est 20","")</f>
        <v/>
      </c>
    </row>
    <row r="21" spans="2:27" ht="14.4">
      <c r="C21" s="229" t="s">
        <v>88</v>
      </c>
      <c r="D21" s="230"/>
      <c r="E21" s="231"/>
      <c r="H21" s="141"/>
      <c r="I21" s="77" t="s">
        <v>85</v>
      </c>
      <c r="J21" s="54">
        <f>COUNTIF(D25:D54,1)</f>
        <v>0</v>
      </c>
    </row>
    <row r="22" spans="2:27" ht="14.4">
      <c r="C22" s="232" t="s">
        <v>148</v>
      </c>
      <c r="D22" s="233"/>
      <c r="E22" s="228">
        <f>I27*J27*K27*L27*M27*N27*O27*P27*Q27*R27*S27*T27*U27*V27*W27*X27*Y27*Z27*AA27</f>
        <v>16</v>
      </c>
      <c r="H22" s="141"/>
      <c r="I22" s="77" t="s">
        <v>86</v>
      </c>
      <c r="J22" s="54">
        <f>COUNTIF(D25:D54,"&gt;20")</f>
        <v>0</v>
      </c>
    </row>
    <row r="24" spans="2:27">
      <c r="C24" s="234" t="s">
        <v>7</v>
      </c>
      <c r="D24" s="161" t="s">
        <v>89</v>
      </c>
      <c r="E24" s="77"/>
      <c r="F24" s="77"/>
      <c r="G24" s="77"/>
      <c r="I24" s="146" t="s">
        <v>90</v>
      </c>
      <c r="J24" s="146" t="s">
        <v>91</v>
      </c>
      <c r="K24" s="146" t="s">
        <v>92</v>
      </c>
      <c r="L24" s="146" t="s">
        <v>93</v>
      </c>
      <c r="M24" s="146" t="s">
        <v>94</v>
      </c>
      <c r="N24" s="146" t="s">
        <v>95</v>
      </c>
      <c r="O24" s="146" t="s">
        <v>96</v>
      </c>
      <c r="P24" s="146" t="s">
        <v>97</v>
      </c>
      <c r="Q24" s="146" t="s">
        <v>98</v>
      </c>
      <c r="R24" s="146" t="s">
        <v>99</v>
      </c>
      <c r="S24" s="146" t="s">
        <v>100</v>
      </c>
      <c r="T24" s="146" t="s">
        <v>101</v>
      </c>
      <c r="U24" s="146" t="s">
        <v>102</v>
      </c>
      <c r="V24" s="146" t="s">
        <v>103</v>
      </c>
      <c r="W24" s="146" t="s">
        <v>104</v>
      </c>
      <c r="X24" s="146" t="s">
        <v>105</v>
      </c>
      <c r="Y24" s="146" t="s">
        <v>106</v>
      </c>
      <c r="Z24" s="146" t="s">
        <v>107</v>
      </c>
      <c r="AA24" s="146" t="s">
        <v>108</v>
      </c>
    </row>
    <row r="25" spans="2:27">
      <c r="C25" s="235" t="s">
        <v>109</v>
      </c>
      <c r="D25" s="236">
        <v>2</v>
      </c>
      <c r="I25" s="126">
        <f>COUNTIF($D$25:$D$54,2)</f>
        <v>4</v>
      </c>
      <c r="J25" s="126">
        <f>COUNTIF($D$25:$D$54,3)</f>
        <v>0</v>
      </c>
      <c r="K25" s="126">
        <f>COUNTIF($D$25:$D$54,4)</f>
        <v>0</v>
      </c>
      <c r="L25" s="126">
        <f>COUNTIF($D$25:$D$54,5)</f>
        <v>0</v>
      </c>
      <c r="M25" s="126">
        <f>COUNTIF($D$25:$D$54,6)</f>
        <v>0</v>
      </c>
      <c r="N25" s="126">
        <f>COUNTIF($D$25:$D$54,7)</f>
        <v>0</v>
      </c>
      <c r="O25" s="126">
        <f>COUNTIF($D$25:$D$54,8)</f>
        <v>0</v>
      </c>
      <c r="P25" s="126">
        <f>COUNTIF($D$25:$D$54,9)</f>
        <v>0</v>
      </c>
      <c r="Q25" s="126">
        <f>COUNTIF($D$25:$D$54,10)</f>
        <v>0</v>
      </c>
      <c r="R25" s="126">
        <f>COUNTIF($D$25:$D$54,11)</f>
        <v>0</v>
      </c>
      <c r="S25" s="126">
        <f>COUNTIF($D$25:$D$54,12)</f>
        <v>0</v>
      </c>
      <c r="T25" s="126">
        <f>COUNTIF($D$25:$D$54,13)</f>
        <v>0</v>
      </c>
      <c r="U25" s="126">
        <f>COUNTIF($D$25:$D$54,14)</f>
        <v>0</v>
      </c>
      <c r="V25" s="126">
        <f>COUNTIF($D$25:$D$54,15)</f>
        <v>0</v>
      </c>
      <c r="W25" s="126">
        <f>COUNTIF($D$25:$D$54,16)</f>
        <v>0</v>
      </c>
      <c r="X25" s="126">
        <f>COUNTIF($D$25:$D$54,17)</f>
        <v>0</v>
      </c>
      <c r="Y25" s="126">
        <f>COUNTIF($D$25:$D$54,18)</f>
        <v>0</v>
      </c>
      <c r="Z25" s="126">
        <f>COUNTIF($D$25:$D$54,19)</f>
        <v>0</v>
      </c>
      <c r="AA25" s="126">
        <f>COUNTIF($D$25:$D$54,20)</f>
        <v>0</v>
      </c>
    </row>
    <row r="26" spans="2:27">
      <c r="C26" s="235" t="s">
        <v>110</v>
      </c>
      <c r="D26" s="236">
        <v>2</v>
      </c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</row>
    <row r="27" spans="2:27">
      <c r="C27" s="235" t="s">
        <v>111</v>
      </c>
      <c r="D27" s="236">
        <v>2</v>
      </c>
      <c r="I27" s="126">
        <f>IF(I25&gt;0,2^I25,1)</f>
        <v>16</v>
      </c>
      <c r="J27" s="126">
        <f>IF(J25&gt;0,3^J25,1)</f>
        <v>1</v>
      </c>
      <c r="K27" s="126">
        <f>IF(K25&gt;0,4^K25,1)</f>
        <v>1</v>
      </c>
      <c r="L27" s="126">
        <f>IF(L25&gt;0,5^L25,1)</f>
        <v>1</v>
      </c>
      <c r="M27" s="126">
        <f>IF(M25&gt;0,6^M25,1)</f>
        <v>1</v>
      </c>
      <c r="N27" s="126">
        <f>IF(N25&gt;0,7^N25,1)</f>
        <v>1</v>
      </c>
      <c r="O27" s="126">
        <f>IF(O25&gt;0,8^O25,1)</f>
        <v>1</v>
      </c>
      <c r="P27" s="126">
        <f>IF(P25&gt;0,9^P25,1)</f>
        <v>1</v>
      </c>
      <c r="Q27" s="126">
        <f>IF(Q25&gt;0,10^Q25,1)</f>
        <v>1</v>
      </c>
      <c r="R27" s="126">
        <f>IF(R25&gt;0,11^R25,1)</f>
        <v>1</v>
      </c>
      <c r="S27" s="126">
        <f>IF(S25&gt;0,12^S25,1)</f>
        <v>1</v>
      </c>
      <c r="T27" s="126">
        <f>IF(T25&gt;0,13^T25,1)</f>
        <v>1</v>
      </c>
      <c r="U27" s="126">
        <f>IF(U25&gt;0,14^U25,1)</f>
        <v>1</v>
      </c>
      <c r="V27" s="126">
        <f>IF(V25&gt;0,15^V25,1)</f>
        <v>1</v>
      </c>
      <c r="W27" s="126">
        <f>IF(W25&gt;0,16^W25,1)</f>
        <v>1</v>
      </c>
      <c r="X27" s="126">
        <f>IF(X25&gt;0,17^X25,1)</f>
        <v>1</v>
      </c>
      <c r="Y27" s="126">
        <f>IF(Y25&gt;0,18^Y25,1)</f>
        <v>1</v>
      </c>
      <c r="Z27" s="126">
        <f>IF(Z25&gt;0,19^Z25,1)</f>
        <v>1</v>
      </c>
      <c r="AA27" s="126">
        <f>IF(AA25&gt;0,20^AA25,1)</f>
        <v>1</v>
      </c>
    </row>
    <row r="28" spans="2:27">
      <c r="C28" s="235" t="s">
        <v>112</v>
      </c>
      <c r="D28" s="236">
        <v>2</v>
      </c>
    </row>
    <row r="29" spans="2:27">
      <c r="C29" s="235" t="s">
        <v>113</v>
      </c>
      <c r="D29" s="236">
        <v>0</v>
      </c>
    </row>
    <row r="30" spans="2:27">
      <c r="C30" s="235" t="s">
        <v>114</v>
      </c>
      <c r="D30" s="236">
        <v>0</v>
      </c>
    </row>
    <row r="31" spans="2:27">
      <c r="C31" s="235" t="s">
        <v>115</v>
      </c>
      <c r="D31" s="236">
        <v>0</v>
      </c>
    </row>
    <row r="32" spans="2:27">
      <c r="C32" s="235" t="s">
        <v>116</v>
      </c>
      <c r="D32" s="236">
        <v>0</v>
      </c>
    </row>
    <row r="33" spans="3:4">
      <c r="C33" s="235" t="s">
        <v>117</v>
      </c>
      <c r="D33" s="236">
        <v>0</v>
      </c>
    </row>
    <row r="34" spans="3:4">
      <c r="C34" s="235" t="s">
        <v>118</v>
      </c>
      <c r="D34" s="236">
        <v>0</v>
      </c>
    </row>
    <row r="35" spans="3:4">
      <c r="C35" s="235" t="s">
        <v>119</v>
      </c>
      <c r="D35" s="236">
        <v>0</v>
      </c>
    </row>
    <row r="36" spans="3:4">
      <c r="C36" s="235" t="s">
        <v>120</v>
      </c>
      <c r="D36" s="236">
        <v>0</v>
      </c>
    </row>
    <row r="37" spans="3:4">
      <c r="C37" s="235" t="s">
        <v>121</v>
      </c>
      <c r="D37" s="236">
        <v>0</v>
      </c>
    </row>
    <row r="38" spans="3:4">
      <c r="C38" s="235" t="s">
        <v>122</v>
      </c>
      <c r="D38" s="236">
        <v>0</v>
      </c>
    </row>
    <row r="39" spans="3:4">
      <c r="C39" s="235" t="s">
        <v>123</v>
      </c>
      <c r="D39" s="236">
        <v>0</v>
      </c>
    </row>
    <row r="40" spans="3:4">
      <c r="C40" s="235" t="s">
        <v>124</v>
      </c>
      <c r="D40" s="236">
        <v>0</v>
      </c>
    </row>
    <row r="41" spans="3:4">
      <c r="C41" s="235" t="s">
        <v>125</v>
      </c>
      <c r="D41" s="236">
        <v>0</v>
      </c>
    </row>
    <row r="42" spans="3:4">
      <c r="C42" s="235" t="s">
        <v>126</v>
      </c>
      <c r="D42" s="236">
        <v>0</v>
      </c>
    </row>
    <row r="43" spans="3:4">
      <c r="C43" s="235" t="s">
        <v>127</v>
      </c>
      <c r="D43" s="236">
        <v>0</v>
      </c>
    </row>
    <row r="44" spans="3:4">
      <c r="C44" s="235" t="s">
        <v>128</v>
      </c>
      <c r="D44" s="236">
        <v>0</v>
      </c>
    </row>
    <row r="45" spans="3:4">
      <c r="C45" s="235" t="s">
        <v>129</v>
      </c>
      <c r="D45" s="236">
        <v>0</v>
      </c>
    </row>
    <row r="46" spans="3:4">
      <c r="C46" s="235" t="s">
        <v>130</v>
      </c>
      <c r="D46" s="236">
        <v>0</v>
      </c>
    </row>
    <row r="47" spans="3:4">
      <c r="C47" s="235" t="s">
        <v>131</v>
      </c>
      <c r="D47" s="236">
        <v>0</v>
      </c>
    </row>
    <row r="48" spans="3:4">
      <c r="C48" s="235" t="s">
        <v>132</v>
      </c>
      <c r="D48" s="236">
        <v>0</v>
      </c>
    </row>
    <row r="49" spans="2:4">
      <c r="C49" s="235" t="s">
        <v>133</v>
      </c>
      <c r="D49" s="236">
        <v>0</v>
      </c>
    </row>
    <row r="50" spans="2:4">
      <c r="C50" s="235" t="s">
        <v>134</v>
      </c>
      <c r="D50" s="236">
        <v>0</v>
      </c>
    </row>
    <row r="51" spans="2:4">
      <c r="C51" s="235" t="s">
        <v>135</v>
      </c>
      <c r="D51" s="236">
        <v>0</v>
      </c>
    </row>
    <row r="52" spans="2:4">
      <c r="C52" s="235" t="s">
        <v>136</v>
      </c>
      <c r="D52" s="236">
        <v>0</v>
      </c>
    </row>
    <row r="53" spans="2:4">
      <c r="C53" s="235" t="s">
        <v>137</v>
      </c>
      <c r="D53" s="236">
        <v>0</v>
      </c>
    </row>
    <row r="54" spans="2:4">
      <c r="C54" s="235" t="s">
        <v>138</v>
      </c>
      <c r="D54" s="236">
        <v>0</v>
      </c>
    </row>
    <row r="56" spans="2:4">
      <c r="B56" s="225"/>
    </row>
    <row r="57" spans="2:4">
      <c r="B57" s="226" t="s">
        <v>167</v>
      </c>
    </row>
  </sheetData>
  <sheetProtection sheet="1" objects="1" scenarios="1"/>
  <mergeCells count="1">
    <mergeCell ref="B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85"/>
  <sheetViews>
    <sheetView tabSelected="1" zoomScale="85" zoomScaleNormal="85" workbookViewId="0">
      <selection activeCell="C2" sqref="C2:G3"/>
    </sheetView>
  </sheetViews>
  <sheetFormatPr baseColWidth="10" defaultRowHeight="13.2"/>
  <cols>
    <col min="1" max="1" width="16.44140625" style="54" customWidth="1"/>
    <col min="2" max="2" width="15.77734375" style="54" customWidth="1"/>
    <col min="3" max="3" width="13.6640625" style="54" customWidth="1"/>
    <col min="4" max="4" width="11.5546875" style="54"/>
    <col min="5" max="8" width="11.6640625" style="54" customWidth="1"/>
    <col min="9" max="9" width="11.77734375" style="54" customWidth="1"/>
    <col min="10" max="10" width="2" style="54" customWidth="1"/>
    <col min="11" max="11" width="5.77734375" style="54" customWidth="1"/>
    <col min="12" max="12" width="7.33203125" style="54" customWidth="1"/>
    <col min="13" max="13" width="8.6640625" style="54" customWidth="1"/>
    <col min="14" max="14" width="7.88671875" style="54" customWidth="1"/>
    <col min="15" max="15" width="5.88671875" style="54" customWidth="1"/>
    <col min="16" max="16" width="6.77734375" style="54" customWidth="1"/>
    <col min="17" max="16384" width="11.5546875" style="54"/>
  </cols>
  <sheetData>
    <row r="2" spans="1:16" ht="16.2">
      <c r="C2" s="266" t="s">
        <v>175</v>
      </c>
      <c r="D2" s="266"/>
      <c r="E2" s="266"/>
      <c r="F2" s="266"/>
      <c r="G2" s="266"/>
    </row>
    <row r="3" spans="1:16" ht="16.2">
      <c r="C3" s="266" t="s">
        <v>153</v>
      </c>
      <c r="D3" s="266"/>
      <c r="E3" s="266"/>
      <c r="F3" s="266"/>
      <c r="G3" s="266"/>
    </row>
    <row r="4" spans="1:16" ht="13.8" thickBot="1"/>
    <row r="5" spans="1:16" ht="19.5" customHeight="1" thickBot="1">
      <c r="A5" s="1" t="s">
        <v>6</v>
      </c>
      <c r="B5" s="2"/>
      <c r="C5" s="2"/>
      <c r="D5" s="22"/>
    </row>
    <row r="6" spans="1:16">
      <c r="A6" s="3"/>
      <c r="B6" s="4" t="s">
        <v>7</v>
      </c>
      <c r="C6" s="4" t="s">
        <v>8</v>
      </c>
      <c r="D6" s="23" t="s">
        <v>9</v>
      </c>
      <c r="F6" s="267" t="s">
        <v>10</v>
      </c>
      <c r="G6" s="268"/>
      <c r="H6" s="78"/>
    </row>
    <row r="7" spans="1:16">
      <c r="A7" s="5" t="s">
        <v>11</v>
      </c>
      <c r="B7" s="7" t="s">
        <v>140</v>
      </c>
      <c r="C7" s="8" t="s">
        <v>70</v>
      </c>
      <c r="D7" s="24" t="s">
        <v>71</v>
      </c>
      <c r="F7" s="269" t="s">
        <v>143</v>
      </c>
      <c r="G7" s="270"/>
      <c r="H7" s="78"/>
    </row>
    <row r="8" spans="1:16" ht="13.8" thickBot="1">
      <c r="A8" s="6" t="s">
        <v>12</v>
      </c>
      <c r="B8" s="25" t="s">
        <v>72</v>
      </c>
      <c r="C8" s="25" t="s">
        <v>73</v>
      </c>
      <c r="D8" s="26" t="s">
        <v>74</v>
      </c>
      <c r="F8" s="271" t="s">
        <v>13</v>
      </c>
      <c r="G8" s="272"/>
      <c r="H8" s="78"/>
    </row>
    <row r="9" spans="1:16" ht="22.2" customHeight="1">
      <c r="A9" s="122"/>
      <c r="E9" s="239" t="s">
        <v>142</v>
      </c>
      <c r="F9" s="61"/>
      <c r="G9" s="61"/>
      <c r="H9" s="61"/>
      <c r="I9" s="61"/>
      <c r="J9" s="61"/>
      <c r="M9" s="123" t="s">
        <v>14</v>
      </c>
    </row>
    <row r="10" spans="1:16" ht="13.8">
      <c r="A10" s="10" t="s">
        <v>15</v>
      </c>
      <c r="B10" s="11" t="str">
        <f>B7</f>
        <v>Temp.</v>
      </c>
      <c r="C10" s="11" t="str">
        <f>B8</f>
        <v>Durée</v>
      </c>
      <c r="D10" s="10" t="s">
        <v>16</v>
      </c>
      <c r="E10" s="15" t="s">
        <v>17</v>
      </c>
      <c r="F10" s="16" t="s">
        <v>18</v>
      </c>
      <c r="G10" s="16" t="s">
        <v>19</v>
      </c>
      <c r="H10" s="16" t="s">
        <v>20</v>
      </c>
      <c r="I10" s="16" t="s">
        <v>21</v>
      </c>
      <c r="J10" s="124"/>
    </row>
    <row r="11" spans="1:16">
      <c r="A11" s="12">
        <v>1</v>
      </c>
      <c r="B11" s="13" t="str">
        <f>C7</f>
        <v>75</v>
      </c>
      <c r="C11" s="13" t="str">
        <f>C8</f>
        <v>100</v>
      </c>
      <c r="D11" s="14">
        <f>MEDIAN(E11:I11)</f>
        <v>148.5</v>
      </c>
      <c r="E11" s="9">
        <v>142</v>
      </c>
      <c r="F11" s="9">
        <v>147</v>
      </c>
      <c r="G11" s="9">
        <v>150</v>
      </c>
      <c r="H11" s="9">
        <v>153</v>
      </c>
      <c r="I11" s="9"/>
      <c r="J11" s="124"/>
      <c r="K11" s="124"/>
    </row>
    <row r="12" spans="1:16">
      <c r="A12" s="12">
        <v>2</v>
      </c>
      <c r="B12" s="13" t="str">
        <f>C7</f>
        <v>75</v>
      </c>
      <c r="C12" s="13" t="str">
        <f>D8</f>
        <v>140</v>
      </c>
      <c r="D12" s="14">
        <f>MEDIAN(E12:I12)</f>
        <v>143.5</v>
      </c>
      <c r="E12" s="9">
        <v>150</v>
      </c>
      <c r="F12" s="9">
        <v>142</v>
      </c>
      <c r="G12" s="9">
        <v>143</v>
      </c>
      <c r="H12" s="9">
        <v>144</v>
      </c>
      <c r="I12" s="9"/>
      <c r="J12" s="124"/>
      <c r="K12" s="124"/>
      <c r="L12" s="125" t="str">
        <f>C7</f>
        <v>75</v>
      </c>
      <c r="M12" s="125" t="str">
        <f>D7</f>
        <v>85</v>
      </c>
      <c r="N12" s="126" t="s">
        <v>55</v>
      </c>
      <c r="O12" s="63" t="str">
        <f>C8</f>
        <v>100</v>
      </c>
      <c r="P12" s="63" t="str">
        <f>D8</f>
        <v>140</v>
      </c>
    </row>
    <row r="13" spans="1:16">
      <c r="A13" s="12">
        <v>3</v>
      </c>
      <c r="B13" s="13" t="str">
        <f>D7</f>
        <v>85</v>
      </c>
      <c r="C13" s="13" t="str">
        <f>C8</f>
        <v>100</v>
      </c>
      <c r="D13" s="14">
        <f>MEDIAN(E13:I13)</f>
        <v>175.5</v>
      </c>
      <c r="E13" s="9">
        <v>180</v>
      </c>
      <c r="F13" s="9">
        <v>175.5</v>
      </c>
      <c r="G13" s="9">
        <v>173.5</v>
      </c>
      <c r="H13" s="9">
        <v>175.5</v>
      </c>
      <c r="I13" s="9"/>
      <c r="J13" s="124"/>
      <c r="K13" s="124"/>
      <c r="L13" s="126" t="str">
        <f>B7</f>
        <v>Temp.</v>
      </c>
      <c r="M13" s="126" t="str">
        <f>B7</f>
        <v>Temp.</v>
      </c>
      <c r="N13" s="126"/>
      <c r="O13" s="126" t="str">
        <f>B8</f>
        <v>Durée</v>
      </c>
      <c r="P13" s="126" t="str">
        <f>B8</f>
        <v>Durée</v>
      </c>
    </row>
    <row r="14" spans="1:16">
      <c r="A14" s="12">
        <v>4</v>
      </c>
      <c r="B14" s="13" t="str">
        <f>D7</f>
        <v>85</v>
      </c>
      <c r="C14" s="13" t="str">
        <f>D8</f>
        <v>140</v>
      </c>
      <c r="D14" s="14">
        <f>MEDIAN(E14:I14)</f>
        <v>195.7</v>
      </c>
      <c r="E14" s="9">
        <v>200</v>
      </c>
      <c r="F14" s="9">
        <v>195.7</v>
      </c>
      <c r="G14" s="9">
        <v>193.7</v>
      </c>
      <c r="H14" s="9">
        <v>195.7</v>
      </c>
      <c r="I14" s="9"/>
      <c r="J14" s="124"/>
      <c r="K14" s="124" t="s">
        <v>30</v>
      </c>
      <c r="L14" s="127">
        <f>B17+C17</f>
        <v>146</v>
      </c>
      <c r="M14" s="127">
        <f>B18+C18</f>
        <v>185.6</v>
      </c>
      <c r="N14" s="126"/>
      <c r="O14" s="127">
        <f>B17+D17</f>
        <v>162</v>
      </c>
      <c r="P14" s="127">
        <f>B18+D18</f>
        <v>169.6</v>
      </c>
    </row>
    <row r="15" spans="1:16">
      <c r="B15" s="66"/>
      <c r="C15" s="66"/>
      <c r="D15" s="66"/>
      <c r="F15" s="128"/>
      <c r="G15" s="128"/>
      <c r="H15" s="128"/>
      <c r="I15" s="128"/>
      <c r="J15" s="128"/>
      <c r="K15" s="54" t="s">
        <v>22</v>
      </c>
      <c r="L15" s="126">
        <f>B17</f>
        <v>165.8</v>
      </c>
      <c r="M15" s="126">
        <f>B17</f>
        <v>165.8</v>
      </c>
      <c r="N15" s="127">
        <f>B17</f>
        <v>165.8</v>
      </c>
      <c r="O15" s="126">
        <f>B17</f>
        <v>165.8</v>
      </c>
      <c r="P15" s="126">
        <f>B17</f>
        <v>165.8</v>
      </c>
    </row>
    <row r="16" spans="1:16" ht="13.8">
      <c r="A16" s="17" t="s">
        <v>23</v>
      </c>
      <c r="B16" s="18" t="s">
        <v>24</v>
      </c>
      <c r="C16" s="19" t="str">
        <f>B7</f>
        <v>Temp.</v>
      </c>
      <c r="D16" s="20" t="str">
        <f>B8</f>
        <v>Durée</v>
      </c>
      <c r="E16" s="66"/>
      <c r="F16" s="251" t="s">
        <v>218</v>
      </c>
      <c r="G16" s="252"/>
      <c r="H16" s="253"/>
      <c r="I16" s="66"/>
      <c r="J16" s="66"/>
    </row>
    <row r="17" spans="1:13" ht="13.8">
      <c r="A17" s="17" t="s">
        <v>27</v>
      </c>
      <c r="B17" s="21">
        <f>(SUM(D11:D14))/4</f>
        <v>165.8</v>
      </c>
      <c r="C17" s="21">
        <f>((D11+D12)/2)-B17</f>
        <v>-19.800000000000011</v>
      </c>
      <c r="D17" s="21">
        <f>((D11+D13)/2)-B17</f>
        <v>-3.8000000000000114</v>
      </c>
      <c r="E17" s="66"/>
      <c r="F17" s="254" t="s">
        <v>219</v>
      </c>
      <c r="G17" s="255"/>
      <c r="H17" s="256"/>
      <c r="I17" s="66"/>
      <c r="J17" s="66"/>
    </row>
    <row r="18" spans="1:13" ht="13.8">
      <c r="A18" s="17" t="s">
        <v>28</v>
      </c>
      <c r="B18" s="21">
        <f>(SUM(D11:D14))/4</f>
        <v>165.8</v>
      </c>
      <c r="C18" s="21">
        <f>((D13+D14)/2)-B18</f>
        <v>19.799999999999983</v>
      </c>
      <c r="D18" s="21">
        <f>((D12+D14)/2)-B18</f>
        <v>3.7999999999999829</v>
      </c>
      <c r="E18" s="66"/>
      <c r="F18" s="66"/>
      <c r="H18" s="66"/>
      <c r="I18" s="66"/>
      <c r="J18" s="66"/>
    </row>
    <row r="19" spans="1:13">
      <c r="B19" s="66"/>
      <c r="C19" s="66"/>
      <c r="D19" s="66"/>
      <c r="E19" s="66"/>
      <c r="F19" s="66"/>
      <c r="H19" s="66"/>
      <c r="I19" s="66"/>
      <c r="J19" s="66"/>
    </row>
    <row r="20" spans="1:13" ht="13.8">
      <c r="A20" s="71" t="s">
        <v>154</v>
      </c>
      <c r="B20" s="71"/>
      <c r="C20" s="71"/>
      <c r="D20" s="71"/>
      <c r="E20" s="71"/>
      <c r="F20" s="71"/>
      <c r="G20" s="71"/>
      <c r="H20" s="71"/>
      <c r="I20" s="71"/>
      <c r="J20" s="71"/>
      <c r="K20" s="79"/>
      <c r="L20" s="125" t="str">
        <f>C7</f>
        <v>75</v>
      </c>
      <c r="M20" s="125" t="str">
        <f>D7</f>
        <v>85</v>
      </c>
    </row>
    <row r="21" spans="1:13">
      <c r="A21" s="129"/>
      <c r="B21" s="161" t="s">
        <v>224</v>
      </c>
      <c r="C21" s="172" t="s">
        <v>181</v>
      </c>
      <c r="D21" s="161" t="s">
        <v>182</v>
      </c>
      <c r="E21" s="173" t="s">
        <v>180</v>
      </c>
      <c r="F21" s="173" t="s">
        <v>189</v>
      </c>
      <c r="H21" s="66"/>
      <c r="I21" s="66"/>
      <c r="J21" s="66"/>
      <c r="K21" s="79"/>
      <c r="L21" s="54" t="str">
        <f>B7</f>
        <v>Temp.</v>
      </c>
      <c r="M21" s="54" t="str">
        <f>B7</f>
        <v>Temp.</v>
      </c>
    </row>
    <row r="22" spans="1:13" ht="13.8">
      <c r="A22" s="130"/>
      <c r="B22" s="163" t="s">
        <v>17</v>
      </c>
      <c r="C22" s="174" t="s">
        <v>149</v>
      </c>
      <c r="D22" s="166" t="s">
        <v>150</v>
      </c>
      <c r="E22" s="179">
        <f>IF(E11="","",E11)</f>
        <v>142</v>
      </c>
      <c r="F22" s="163" t="str">
        <f>IF(E22="","",CONCATENATE(C22,D22))</f>
        <v>A1B1</v>
      </c>
      <c r="H22" s="71"/>
      <c r="I22" s="66"/>
      <c r="J22" s="66"/>
      <c r="K22" s="63" t="str">
        <f>C8</f>
        <v>100</v>
      </c>
      <c r="L22" s="131">
        <f>D11</f>
        <v>148.5</v>
      </c>
      <c r="M22" s="131">
        <f>D12</f>
        <v>143.5</v>
      </c>
    </row>
    <row r="23" spans="1:13" ht="13.8">
      <c r="A23" s="130"/>
      <c r="B23" s="166" t="s">
        <v>17</v>
      </c>
      <c r="C23" s="174" t="s">
        <v>149</v>
      </c>
      <c r="D23" s="166" t="s">
        <v>151</v>
      </c>
      <c r="E23" s="179">
        <f>IF(E12="","",E12)</f>
        <v>150</v>
      </c>
      <c r="F23" s="166" t="str">
        <f t="shared" ref="F23:F41" si="0">IF(E23="","",CONCATENATE(C23,D23))</f>
        <v>A1B2</v>
      </c>
      <c r="H23" s="66"/>
      <c r="I23" s="66"/>
      <c r="J23" s="66"/>
      <c r="K23" s="63" t="str">
        <f>D8</f>
        <v>140</v>
      </c>
      <c r="L23" s="131">
        <f>D13</f>
        <v>175.5</v>
      </c>
      <c r="M23" s="131">
        <f>D14</f>
        <v>195.7</v>
      </c>
    </row>
    <row r="24" spans="1:13" ht="13.8">
      <c r="A24" s="130"/>
      <c r="B24" s="166" t="s">
        <v>17</v>
      </c>
      <c r="C24" s="174" t="s">
        <v>152</v>
      </c>
      <c r="D24" s="166" t="s">
        <v>150</v>
      </c>
      <c r="E24" s="179">
        <f>IF(E13="","",E13)</f>
        <v>180</v>
      </c>
      <c r="F24" s="166" t="str">
        <f t="shared" si="0"/>
        <v>A2B1</v>
      </c>
      <c r="H24" s="66"/>
      <c r="I24" s="66"/>
      <c r="J24" s="66"/>
      <c r="K24" s="56"/>
      <c r="L24" s="131"/>
      <c r="M24" s="131"/>
    </row>
    <row r="25" spans="1:13" ht="13.8">
      <c r="A25" s="130"/>
      <c r="B25" s="168" t="s">
        <v>17</v>
      </c>
      <c r="C25" s="176" t="s">
        <v>152</v>
      </c>
      <c r="D25" s="168" t="s">
        <v>151</v>
      </c>
      <c r="E25" s="180">
        <f>IF(E14="","",E14)</f>
        <v>200</v>
      </c>
      <c r="F25" s="168" t="str">
        <f t="shared" si="0"/>
        <v>A2B2</v>
      </c>
      <c r="H25" s="66"/>
      <c r="I25" s="66"/>
      <c r="J25" s="66"/>
    </row>
    <row r="26" spans="1:13" ht="13.8">
      <c r="A26" s="69"/>
      <c r="B26" s="163" t="s">
        <v>18</v>
      </c>
      <c r="C26" s="174" t="s">
        <v>149</v>
      </c>
      <c r="D26" s="166" t="s">
        <v>150</v>
      </c>
      <c r="E26" s="179">
        <f>IF(F11="","",F11)</f>
        <v>147</v>
      </c>
      <c r="F26" s="163" t="str">
        <f t="shared" si="0"/>
        <v>A1B1</v>
      </c>
      <c r="H26" s="66"/>
      <c r="I26" s="66"/>
      <c r="J26" s="66"/>
    </row>
    <row r="27" spans="1:13">
      <c r="A27" s="66"/>
      <c r="B27" s="166" t="s">
        <v>18</v>
      </c>
      <c r="C27" s="174" t="s">
        <v>149</v>
      </c>
      <c r="D27" s="166" t="s">
        <v>151</v>
      </c>
      <c r="E27" s="179">
        <f>IF(F12="","",F12)</f>
        <v>142</v>
      </c>
      <c r="F27" s="166" t="str">
        <f t="shared" si="0"/>
        <v>A1B2</v>
      </c>
      <c r="H27" s="66"/>
      <c r="I27" s="66"/>
      <c r="J27" s="66"/>
    </row>
    <row r="28" spans="1:13" s="74" customFormat="1" ht="15.6">
      <c r="A28" s="108"/>
      <c r="B28" s="166" t="s">
        <v>18</v>
      </c>
      <c r="C28" s="174" t="s">
        <v>152</v>
      </c>
      <c r="D28" s="166" t="s">
        <v>150</v>
      </c>
      <c r="E28" s="179">
        <f>IF(F13="","",F13)</f>
        <v>175.5</v>
      </c>
      <c r="F28" s="166" t="str">
        <f t="shared" si="0"/>
        <v>A2B1</v>
      </c>
      <c r="H28" s="66"/>
      <c r="I28" s="72"/>
      <c r="J28" s="72"/>
    </row>
    <row r="29" spans="1:13" s="74" customFormat="1" ht="13.2" customHeight="1">
      <c r="A29" s="112"/>
      <c r="B29" s="168" t="s">
        <v>18</v>
      </c>
      <c r="C29" s="176" t="s">
        <v>152</v>
      </c>
      <c r="D29" s="168" t="s">
        <v>151</v>
      </c>
      <c r="E29" s="180">
        <f>IF(F14="","",F14)</f>
        <v>195.7</v>
      </c>
      <c r="F29" s="168" t="str">
        <f t="shared" si="0"/>
        <v>A2B2</v>
      </c>
      <c r="H29" s="113"/>
      <c r="I29" s="72"/>
      <c r="J29" s="72"/>
    </row>
    <row r="30" spans="1:13" s="75" customFormat="1" ht="15.6">
      <c r="A30" s="88"/>
      <c r="B30" s="163" t="s">
        <v>19</v>
      </c>
      <c r="C30" s="174" t="s">
        <v>149</v>
      </c>
      <c r="D30" s="166" t="s">
        <v>150</v>
      </c>
      <c r="E30" s="179">
        <f>IF(G11="","",G11)</f>
        <v>150</v>
      </c>
      <c r="F30" s="163" t="str">
        <f t="shared" si="0"/>
        <v>A1B1</v>
      </c>
      <c r="H30" s="116"/>
      <c r="I30" s="73"/>
      <c r="J30" s="73"/>
    </row>
    <row r="31" spans="1:13" ht="15.6">
      <c r="A31" s="88"/>
      <c r="B31" s="166" t="s">
        <v>19</v>
      </c>
      <c r="C31" s="174" t="s">
        <v>149</v>
      </c>
      <c r="D31" s="166" t="s">
        <v>151</v>
      </c>
      <c r="E31" s="179">
        <f>IF(G12="","",G12)</f>
        <v>143</v>
      </c>
      <c r="F31" s="166" t="str">
        <f t="shared" si="0"/>
        <v>A1B2</v>
      </c>
      <c r="H31" s="116"/>
      <c r="I31" s="66"/>
      <c r="J31" s="66"/>
    </row>
    <row r="32" spans="1:13" ht="15.6">
      <c r="A32" s="88"/>
      <c r="B32" s="166" t="s">
        <v>19</v>
      </c>
      <c r="C32" s="174" t="s">
        <v>152</v>
      </c>
      <c r="D32" s="166" t="s">
        <v>150</v>
      </c>
      <c r="E32" s="179">
        <f>IF(G13="","",G13)</f>
        <v>173.5</v>
      </c>
      <c r="F32" s="166" t="str">
        <f t="shared" si="0"/>
        <v>A2B1</v>
      </c>
      <c r="H32" s="116"/>
      <c r="I32" s="66"/>
      <c r="J32" s="66"/>
    </row>
    <row r="33" spans="1:10" ht="13.8">
      <c r="A33" s="132"/>
      <c r="B33" s="168" t="s">
        <v>19</v>
      </c>
      <c r="C33" s="176" t="s">
        <v>152</v>
      </c>
      <c r="D33" s="168" t="s">
        <v>151</v>
      </c>
      <c r="E33" s="180">
        <f>IF(G14="","",G14)</f>
        <v>193.7</v>
      </c>
      <c r="F33" s="168" t="str">
        <f t="shared" si="0"/>
        <v>A2B2</v>
      </c>
      <c r="H33" s="133"/>
      <c r="I33" s="66"/>
      <c r="J33" s="66"/>
    </row>
    <row r="34" spans="1:10" ht="13.8">
      <c r="A34" s="132"/>
      <c r="B34" s="163" t="s">
        <v>20</v>
      </c>
      <c r="C34" s="174" t="s">
        <v>149</v>
      </c>
      <c r="D34" s="166" t="s">
        <v>150</v>
      </c>
      <c r="E34" s="179">
        <f>IF(H11="","",H11)</f>
        <v>153</v>
      </c>
      <c r="F34" s="163" t="str">
        <f t="shared" si="0"/>
        <v>A1B1</v>
      </c>
      <c r="H34" s="133"/>
      <c r="I34" s="66"/>
      <c r="J34" s="66"/>
    </row>
    <row r="35" spans="1:10">
      <c r="A35" s="66"/>
      <c r="B35" s="166" t="s">
        <v>20</v>
      </c>
      <c r="C35" s="174" t="s">
        <v>149</v>
      </c>
      <c r="D35" s="166" t="s">
        <v>151</v>
      </c>
      <c r="E35" s="179">
        <f>IF(H12="","",H12)</f>
        <v>144</v>
      </c>
      <c r="F35" s="166" t="str">
        <f t="shared" si="0"/>
        <v>A1B2</v>
      </c>
      <c r="H35" s="66"/>
      <c r="I35" s="66"/>
      <c r="J35" s="66"/>
    </row>
    <row r="36" spans="1:10">
      <c r="A36" s="66"/>
      <c r="B36" s="166" t="s">
        <v>20</v>
      </c>
      <c r="C36" s="174" t="s">
        <v>152</v>
      </c>
      <c r="D36" s="166" t="s">
        <v>150</v>
      </c>
      <c r="E36" s="179">
        <f>IF(H13="","",H13)</f>
        <v>175.5</v>
      </c>
      <c r="F36" s="166" t="str">
        <f t="shared" si="0"/>
        <v>A2B1</v>
      </c>
      <c r="H36" s="66"/>
      <c r="I36" s="66"/>
      <c r="J36" s="66"/>
    </row>
    <row r="37" spans="1:10">
      <c r="A37" s="66"/>
      <c r="B37" s="168" t="s">
        <v>20</v>
      </c>
      <c r="C37" s="176" t="s">
        <v>152</v>
      </c>
      <c r="D37" s="168" t="s">
        <v>151</v>
      </c>
      <c r="E37" s="180">
        <f>IF(H14="","",H14)</f>
        <v>195.7</v>
      </c>
      <c r="F37" s="168" t="str">
        <f t="shared" si="0"/>
        <v>A2B2</v>
      </c>
      <c r="H37" s="66"/>
      <c r="I37" s="66"/>
      <c r="J37" s="66"/>
    </row>
    <row r="38" spans="1:10">
      <c r="A38" s="66"/>
      <c r="B38" s="163" t="s">
        <v>21</v>
      </c>
      <c r="C38" s="174" t="s">
        <v>149</v>
      </c>
      <c r="D38" s="166" t="s">
        <v>150</v>
      </c>
      <c r="E38" s="179" t="str">
        <f>IF(I11="","",I11)</f>
        <v/>
      </c>
      <c r="F38" s="163" t="str">
        <f t="shared" si="0"/>
        <v/>
      </c>
      <c r="H38" s="66"/>
      <c r="I38" s="66"/>
      <c r="J38" s="66"/>
    </row>
    <row r="39" spans="1:10">
      <c r="A39" s="134"/>
      <c r="B39" s="166" t="s">
        <v>21</v>
      </c>
      <c r="C39" s="174" t="s">
        <v>149</v>
      </c>
      <c r="D39" s="166" t="s">
        <v>151</v>
      </c>
      <c r="E39" s="179" t="str">
        <f>IF(I12="","",I12)</f>
        <v/>
      </c>
      <c r="F39" s="166" t="str">
        <f t="shared" si="0"/>
        <v/>
      </c>
      <c r="H39" s="66"/>
      <c r="I39" s="66"/>
      <c r="J39" s="66"/>
    </row>
    <row r="40" spans="1:10">
      <c r="A40" s="66"/>
      <c r="B40" s="166" t="s">
        <v>21</v>
      </c>
      <c r="C40" s="174" t="s">
        <v>152</v>
      </c>
      <c r="D40" s="166" t="s">
        <v>150</v>
      </c>
      <c r="E40" s="179" t="str">
        <f>IF(I13="","",I13)</f>
        <v/>
      </c>
      <c r="F40" s="166" t="str">
        <f t="shared" si="0"/>
        <v/>
      </c>
      <c r="H40" s="66"/>
      <c r="I40" s="66"/>
      <c r="J40" s="66"/>
    </row>
    <row r="41" spans="1:10">
      <c r="B41" s="168" t="s">
        <v>21</v>
      </c>
      <c r="C41" s="176" t="s">
        <v>152</v>
      </c>
      <c r="D41" s="168" t="s">
        <v>151</v>
      </c>
      <c r="E41" s="180" t="str">
        <f>IF(I14="","",I14)</f>
        <v/>
      </c>
      <c r="F41" s="168" t="str">
        <f t="shared" si="0"/>
        <v/>
      </c>
    </row>
    <row r="44" spans="1:10" ht="14.4">
      <c r="A44" s="243" t="s">
        <v>183</v>
      </c>
      <c r="B44" s="241"/>
      <c r="C44" s="241"/>
      <c r="D44" s="241"/>
      <c r="E44" s="241"/>
      <c r="F44" s="241"/>
      <c r="G44" s="241"/>
      <c r="H44" s="241"/>
    </row>
    <row r="46" spans="1:10">
      <c r="B46" s="77" t="s">
        <v>213</v>
      </c>
    </row>
    <row r="47" spans="1:10">
      <c r="B47" s="77"/>
      <c r="C47" s="77" t="s">
        <v>212</v>
      </c>
    </row>
    <row r="49" spans="2:8">
      <c r="B49" s="64" t="s">
        <v>184</v>
      </c>
    </row>
    <row r="50" spans="2:8">
      <c r="B50" s="250" t="s">
        <v>214</v>
      </c>
    </row>
    <row r="51" spans="2:8" ht="13.8">
      <c r="B51" s="77"/>
      <c r="C51" s="240" t="s">
        <v>185</v>
      </c>
      <c r="D51" s="241"/>
      <c r="E51" s="241"/>
      <c r="F51" s="241"/>
      <c r="G51" s="241"/>
      <c r="H51" s="241"/>
    </row>
    <row r="52" spans="2:8" ht="13.8">
      <c r="B52" s="77"/>
      <c r="C52" s="240" t="s">
        <v>186</v>
      </c>
      <c r="D52" s="241"/>
      <c r="E52" s="241"/>
      <c r="F52" s="241"/>
      <c r="G52" s="241"/>
      <c r="H52" s="241"/>
    </row>
    <row r="53" spans="2:8" ht="13.8">
      <c r="B53" s="77"/>
      <c r="C53" s="240" t="s">
        <v>187</v>
      </c>
      <c r="D53" s="241"/>
      <c r="E53" s="241"/>
      <c r="F53" s="241"/>
      <c r="G53" s="241"/>
      <c r="H53" s="241"/>
    </row>
    <row r="54" spans="2:8">
      <c r="B54" s="77"/>
    </row>
    <row r="55" spans="2:8">
      <c r="B55" s="77"/>
    </row>
    <row r="56" spans="2:8">
      <c r="B56" s="250" t="s">
        <v>215</v>
      </c>
    </row>
    <row r="57" spans="2:8">
      <c r="B57" s="77" t="s">
        <v>191</v>
      </c>
    </row>
    <row r="58" spans="2:8" ht="13.8">
      <c r="B58" s="77"/>
      <c r="C58" s="240" t="s">
        <v>223</v>
      </c>
      <c r="D58" s="240"/>
      <c r="E58" s="240"/>
      <c r="F58" s="240"/>
      <c r="G58" s="241"/>
      <c r="H58" s="241"/>
    </row>
    <row r="59" spans="2:8" ht="13.8">
      <c r="B59" s="77"/>
      <c r="C59" s="240" t="s">
        <v>222</v>
      </c>
      <c r="D59" s="241"/>
      <c r="E59" s="241"/>
      <c r="F59" s="241"/>
      <c r="G59" s="241"/>
      <c r="H59" s="241"/>
    </row>
    <row r="60" spans="2:8">
      <c r="B60" s="77"/>
    </row>
    <row r="61" spans="2:8">
      <c r="B61" s="77" t="s">
        <v>192</v>
      </c>
    </row>
    <row r="62" spans="2:8">
      <c r="C62" s="77" t="s">
        <v>225</v>
      </c>
    </row>
    <row r="63" spans="2:8">
      <c r="B63" s="77"/>
      <c r="C63" s="263" t="s">
        <v>226</v>
      </c>
    </row>
    <row r="64" spans="2:8">
      <c r="B64" s="77"/>
      <c r="C64" s="77" t="s">
        <v>227</v>
      </c>
    </row>
    <row r="65" spans="2:8">
      <c r="B65" s="77"/>
      <c r="C65" s="263" t="s">
        <v>228</v>
      </c>
    </row>
    <row r="66" spans="2:8">
      <c r="B66" s="77"/>
      <c r="C66" s="77" t="s">
        <v>229</v>
      </c>
    </row>
    <row r="67" spans="2:8">
      <c r="B67" s="77"/>
      <c r="C67" s="77" t="s">
        <v>230</v>
      </c>
    </row>
    <row r="68" spans="2:8">
      <c r="B68" s="77"/>
      <c r="C68" s="77"/>
    </row>
    <row r="69" spans="2:8">
      <c r="B69" s="77"/>
      <c r="C69" s="77" t="s">
        <v>231</v>
      </c>
    </row>
    <row r="70" spans="2:8" ht="13.8">
      <c r="C70" s="240" t="s">
        <v>188</v>
      </c>
      <c r="D70" s="241"/>
      <c r="E70" s="241"/>
      <c r="F70" s="241"/>
      <c r="G70" s="241"/>
      <c r="H70" s="241"/>
    </row>
    <row r="71" spans="2:8" ht="13.8">
      <c r="C71" s="240" t="s">
        <v>186</v>
      </c>
      <c r="D71" s="241"/>
      <c r="E71" s="241"/>
      <c r="F71" s="241"/>
      <c r="G71" s="241"/>
      <c r="H71" s="241"/>
    </row>
    <row r="72" spans="2:8" ht="13.8">
      <c r="C72" s="240" t="s">
        <v>187</v>
      </c>
      <c r="D72" s="241"/>
      <c r="E72" s="241"/>
      <c r="F72" s="241"/>
      <c r="G72" s="241"/>
      <c r="H72" s="241"/>
    </row>
    <row r="74" spans="2:8">
      <c r="C74" s="77" t="s">
        <v>232</v>
      </c>
    </row>
    <row r="75" spans="2:8" ht="13.8">
      <c r="C75" s="240" t="s">
        <v>233</v>
      </c>
      <c r="D75" s="241"/>
      <c r="E75" s="241"/>
      <c r="F75" s="241"/>
      <c r="G75" s="241"/>
      <c r="H75" s="241"/>
    </row>
    <row r="76" spans="2:8" ht="13.8">
      <c r="C76" s="240" t="s">
        <v>223</v>
      </c>
      <c r="D76" s="241"/>
      <c r="E76" s="241"/>
      <c r="F76" s="241"/>
      <c r="G76" s="241"/>
      <c r="H76" s="241"/>
    </row>
    <row r="77" spans="2:8" ht="13.8">
      <c r="C77" s="240" t="s">
        <v>234</v>
      </c>
      <c r="D77" s="241"/>
      <c r="E77" s="241"/>
      <c r="F77" s="241"/>
      <c r="G77" s="241"/>
      <c r="H77" s="241"/>
    </row>
    <row r="78" spans="2:8" ht="13.8">
      <c r="C78" s="240" t="s">
        <v>186</v>
      </c>
      <c r="D78" s="241"/>
      <c r="E78" s="241"/>
      <c r="F78" s="241"/>
      <c r="G78" s="241"/>
      <c r="H78" s="241"/>
    </row>
    <row r="79" spans="2:8" ht="13.8">
      <c r="C79" s="240" t="s">
        <v>235</v>
      </c>
      <c r="D79" s="241"/>
      <c r="E79" s="241"/>
      <c r="F79" s="241"/>
      <c r="G79" s="241"/>
      <c r="H79" s="241"/>
    </row>
    <row r="81" spans="1:8">
      <c r="B81" s="77" t="s">
        <v>250</v>
      </c>
    </row>
    <row r="82" spans="1:8" ht="13.8">
      <c r="C82" s="240" t="s">
        <v>236</v>
      </c>
      <c r="D82" s="240"/>
      <c r="E82" s="240"/>
      <c r="F82" s="240"/>
      <c r="G82" s="240"/>
      <c r="H82" s="240"/>
    </row>
    <row r="83" spans="1:8" ht="13.8">
      <c r="C83" s="240" t="s">
        <v>251</v>
      </c>
      <c r="D83" s="240"/>
      <c r="E83" s="240"/>
      <c r="F83" s="240"/>
      <c r="G83" s="240"/>
      <c r="H83" s="240"/>
    </row>
    <row r="84" spans="1:8" ht="13.8">
      <c r="C84" s="240" t="s">
        <v>252</v>
      </c>
      <c r="D84" s="240"/>
      <c r="E84" s="240"/>
      <c r="F84" s="240"/>
      <c r="G84" s="240"/>
      <c r="H84" s="240"/>
    </row>
    <row r="85" spans="1:8">
      <c r="A85" s="264" t="s">
        <v>249</v>
      </c>
    </row>
  </sheetData>
  <sheetProtection sheet="1" objects="1" scenarios="1" formatCells="0"/>
  <mergeCells count="5">
    <mergeCell ref="C2:G2"/>
    <mergeCell ref="C3:G3"/>
    <mergeCell ref="F6:G6"/>
    <mergeCell ref="F7:G7"/>
    <mergeCell ref="F8:G8"/>
  </mergeCells>
  <phoneticPr fontId="8" type="noConversion"/>
  <hyperlinks>
    <hyperlink ref="A85" r:id="rId1"/>
  </hyperlinks>
  <printOptions gridLines="1" gridLinesSet="0"/>
  <pageMargins left="0.78740157499999996" right="0.78740157499999996" top="0.984251969" bottom="0.984251969" header="0.4921259845" footer="0.4921259845"/>
  <pageSetup paperSize="9" orientation="landscape" horizontalDpi="360" verticalDpi="360" copies="0" r:id="rId2"/>
  <headerFooter alignWithMargins="0">
    <oddHeader>&amp;C&amp;F / &amp;A</oddHeader>
    <oddFooter>Page &amp;P</oddFooter>
  </headerFooter>
  <rowBreaks count="1" manualBreakCount="1">
    <brk id="22" max="65535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111"/>
  <sheetViews>
    <sheetView zoomScale="85" zoomScaleNormal="85" workbookViewId="0">
      <selection activeCell="C2" sqref="C2:G3"/>
    </sheetView>
  </sheetViews>
  <sheetFormatPr baseColWidth="10" defaultRowHeight="15.6"/>
  <cols>
    <col min="1" max="1" width="17" style="92" customWidth="1"/>
    <col min="2" max="5" width="17.33203125" style="92" customWidth="1"/>
    <col min="6" max="6" width="15.33203125" style="92" customWidth="1"/>
    <col min="7" max="11" width="13" style="92" customWidth="1"/>
    <col min="12" max="12" width="11" style="54" customWidth="1"/>
    <col min="13" max="13" width="3.6640625" style="54" customWidth="1"/>
    <col min="14" max="14" width="4.109375" style="54" customWidth="1"/>
    <col min="15" max="16" width="4.33203125" style="54" customWidth="1"/>
    <col min="17" max="17" width="3.77734375" style="54" customWidth="1"/>
    <col min="18" max="18" width="3.109375" style="54" customWidth="1"/>
    <col min="19" max="19" width="4.109375" style="54" customWidth="1"/>
    <col min="20" max="20" width="6.109375" style="54" customWidth="1"/>
    <col min="21" max="16384" width="11.5546875" style="54"/>
  </cols>
  <sheetData>
    <row r="2" spans="1:20" ht="16.2">
      <c r="C2" s="266" t="s">
        <v>176</v>
      </c>
      <c r="D2" s="266"/>
      <c r="E2" s="266"/>
      <c r="F2" s="266"/>
      <c r="G2" s="266"/>
    </row>
    <row r="3" spans="1:20" ht="16.2">
      <c r="C3" s="266" t="s">
        <v>157</v>
      </c>
      <c r="D3" s="266"/>
      <c r="E3" s="266"/>
      <c r="F3" s="266"/>
      <c r="G3" s="266"/>
    </row>
    <row r="4" spans="1:20" ht="16.2" thickBot="1"/>
    <row r="5" spans="1:20" ht="16.2" thickBot="1">
      <c r="A5" s="29" t="s">
        <v>6</v>
      </c>
      <c r="B5" s="30"/>
      <c r="C5" s="30"/>
      <c r="D5" s="33"/>
    </row>
    <row r="6" spans="1:20">
      <c r="A6" s="31"/>
      <c r="B6" s="47" t="s">
        <v>7</v>
      </c>
      <c r="C6" s="47" t="s">
        <v>8</v>
      </c>
      <c r="D6" s="48" t="s">
        <v>9</v>
      </c>
      <c r="F6" s="93" t="s">
        <v>10</v>
      </c>
      <c r="G6" s="94"/>
    </row>
    <row r="7" spans="1:20">
      <c r="A7" s="32" t="s">
        <v>11</v>
      </c>
      <c r="B7" s="27" t="s">
        <v>140</v>
      </c>
      <c r="C7" s="27" t="s">
        <v>75</v>
      </c>
      <c r="D7" s="34" t="s">
        <v>76</v>
      </c>
      <c r="F7" s="95" t="s">
        <v>143</v>
      </c>
      <c r="G7" s="96"/>
    </row>
    <row r="8" spans="1:20" ht="16.2" thickBot="1">
      <c r="A8" s="32" t="s">
        <v>12</v>
      </c>
      <c r="B8" s="27" t="s">
        <v>72</v>
      </c>
      <c r="C8" s="27" t="s">
        <v>77</v>
      </c>
      <c r="D8" s="34" t="s">
        <v>78</v>
      </c>
      <c r="F8" s="97" t="s">
        <v>13</v>
      </c>
      <c r="G8" s="98"/>
    </row>
    <row r="9" spans="1:20" ht="16.2" thickBot="1">
      <c r="A9" s="35" t="s">
        <v>29</v>
      </c>
      <c r="B9" s="36" t="s">
        <v>79</v>
      </c>
      <c r="C9" s="36" t="s">
        <v>80</v>
      </c>
      <c r="D9" s="37" t="s">
        <v>81</v>
      </c>
    </row>
    <row r="10" spans="1:20" ht="22.8" customHeight="1">
      <c r="F10" s="238" t="s">
        <v>142</v>
      </c>
      <c r="G10" s="99"/>
      <c r="H10" s="99"/>
      <c r="I10" s="100"/>
      <c r="J10" s="100"/>
      <c r="K10" s="100"/>
    </row>
    <row r="11" spans="1:20">
      <c r="A11" s="38" t="s">
        <v>15</v>
      </c>
      <c r="B11" s="11" t="str">
        <f>B7</f>
        <v>Temp.</v>
      </c>
      <c r="C11" s="11" t="str">
        <f>B8</f>
        <v>Durée</v>
      </c>
      <c r="D11" s="11" t="str">
        <f>B9</f>
        <v>Souche</v>
      </c>
      <c r="E11" s="38" t="s">
        <v>16</v>
      </c>
      <c r="F11" s="42" t="s">
        <v>17</v>
      </c>
      <c r="G11" s="42" t="s">
        <v>18</v>
      </c>
      <c r="H11" s="42" t="s">
        <v>19</v>
      </c>
      <c r="I11" s="42" t="s">
        <v>20</v>
      </c>
      <c r="J11" s="42" t="s">
        <v>21</v>
      </c>
      <c r="K11" s="101"/>
    </row>
    <row r="12" spans="1:20">
      <c r="A12" s="39">
        <v>1</v>
      </c>
      <c r="B12" s="40" t="str">
        <f>C7</f>
        <v>24°C</v>
      </c>
      <c r="C12" s="40" t="str">
        <f>C8</f>
        <v>22h</v>
      </c>
      <c r="D12" s="40" t="str">
        <f>C9</f>
        <v>SA</v>
      </c>
      <c r="E12" s="41">
        <f>MEDIAN(F12:J12)</f>
        <v>28.5</v>
      </c>
      <c r="F12" s="28">
        <v>28.5</v>
      </c>
      <c r="G12" s="28">
        <v>29.5</v>
      </c>
      <c r="H12" s="28">
        <v>28.5</v>
      </c>
      <c r="I12" s="28"/>
      <c r="J12" s="28"/>
      <c r="K12" s="101"/>
    </row>
    <row r="13" spans="1:20">
      <c r="A13" s="39">
        <v>2</v>
      </c>
      <c r="B13" s="40" t="str">
        <f>C7</f>
        <v>24°C</v>
      </c>
      <c r="C13" s="40" t="str">
        <f>C8</f>
        <v>22h</v>
      </c>
      <c r="D13" s="40" t="str">
        <f>D9</f>
        <v>SB</v>
      </c>
      <c r="E13" s="41">
        <f t="shared" ref="E13:E19" si="0">MEDIAN(F13:J13)</f>
        <v>28.6</v>
      </c>
      <c r="F13" s="28">
        <v>28.6</v>
      </c>
      <c r="G13" s="28">
        <v>29.6</v>
      </c>
      <c r="H13" s="28">
        <v>28.6</v>
      </c>
      <c r="I13" s="28"/>
      <c r="J13" s="28"/>
      <c r="K13" s="101"/>
      <c r="M13" s="54" t="str">
        <f>C7</f>
        <v>24°C</v>
      </c>
      <c r="N13" s="54" t="str">
        <f>D7</f>
        <v>28°C</v>
      </c>
      <c r="O13" s="54" t="s">
        <v>55</v>
      </c>
      <c r="P13" s="54" t="str">
        <f>C8</f>
        <v>22h</v>
      </c>
      <c r="Q13" s="54" t="str">
        <f>D8</f>
        <v>24h</v>
      </c>
      <c r="R13" s="54" t="s">
        <v>55</v>
      </c>
      <c r="S13" s="54" t="str">
        <f>C9</f>
        <v>SA</v>
      </c>
      <c r="T13" s="54" t="str">
        <f>D9</f>
        <v>SB</v>
      </c>
    </row>
    <row r="14" spans="1:20">
      <c r="A14" s="39">
        <v>3</v>
      </c>
      <c r="B14" s="40" t="str">
        <f>C7</f>
        <v>24°C</v>
      </c>
      <c r="C14" s="40" t="str">
        <f>D8</f>
        <v>24h</v>
      </c>
      <c r="D14" s="40" t="str">
        <f>C9</f>
        <v>SA</v>
      </c>
      <c r="E14" s="41">
        <f t="shared" si="0"/>
        <v>27.9</v>
      </c>
      <c r="F14" s="28">
        <v>27.9</v>
      </c>
      <c r="G14" s="28">
        <v>29.9</v>
      </c>
      <c r="H14" s="28">
        <v>27.9</v>
      </c>
      <c r="I14" s="28"/>
      <c r="J14" s="28"/>
      <c r="K14" s="101"/>
      <c r="M14" s="54" t="str">
        <f>B7</f>
        <v>Temp.</v>
      </c>
      <c r="N14" s="54" t="str">
        <f>B7</f>
        <v>Temp.</v>
      </c>
      <c r="P14" s="54" t="str">
        <f>B8</f>
        <v>Durée</v>
      </c>
      <c r="Q14" s="54" t="str">
        <f>B8</f>
        <v>Durée</v>
      </c>
      <c r="S14" s="54" t="str">
        <f>B9</f>
        <v>Souche</v>
      </c>
      <c r="T14" s="54" t="str">
        <f>B9</f>
        <v>Souche</v>
      </c>
    </row>
    <row r="15" spans="1:20">
      <c r="A15" s="39">
        <v>4</v>
      </c>
      <c r="B15" s="40" t="str">
        <f>C7</f>
        <v>24°C</v>
      </c>
      <c r="C15" s="40" t="str">
        <f>D8</f>
        <v>24h</v>
      </c>
      <c r="D15" s="40" t="str">
        <f>D9</f>
        <v>SB</v>
      </c>
      <c r="E15" s="41">
        <f t="shared" si="0"/>
        <v>28.3</v>
      </c>
      <c r="F15" s="28">
        <v>28.3</v>
      </c>
      <c r="G15" s="28">
        <v>29.3</v>
      </c>
      <c r="H15" s="28">
        <v>28.3</v>
      </c>
      <c r="I15" s="28"/>
      <c r="J15" s="28"/>
      <c r="K15" s="101"/>
      <c r="L15" s="54" t="s">
        <v>30</v>
      </c>
      <c r="M15" s="54">
        <f>B22-ABS(C22)</f>
        <v>28.324999999999999</v>
      </c>
      <c r="N15" s="54">
        <f>B22+ABS(C22)</f>
        <v>29.05</v>
      </c>
      <c r="P15" s="54">
        <f>B22-ABS(D22)</f>
        <v>28.175000000000001</v>
      </c>
      <c r="Q15" s="54">
        <f>B22+ABS(D22)</f>
        <v>29.2</v>
      </c>
      <c r="S15" s="54">
        <f>B22-ABS(E22)</f>
        <v>27.524999999999999</v>
      </c>
      <c r="T15" s="54">
        <f>B22+ABS(E22)</f>
        <v>29.85</v>
      </c>
    </row>
    <row r="16" spans="1:20">
      <c r="A16" s="39">
        <v>5</v>
      </c>
      <c r="B16" s="40" t="str">
        <f>D7</f>
        <v>28°C</v>
      </c>
      <c r="C16" s="40" t="str">
        <f>C8</f>
        <v>22h</v>
      </c>
      <c r="D16" s="40" t="str">
        <f>C9</f>
        <v>SA</v>
      </c>
      <c r="E16" s="41">
        <f t="shared" si="0"/>
        <v>27.2</v>
      </c>
      <c r="F16" s="28">
        <v>29.2</v>
      </c>
      <c r="G16" s="28">
        <v>27.2</v>
      </c>
      <c r="H16" s="28">
        <v>25.2</v>
      </c>
      <c r="I16" s="28"/>
      <c r="J16" s="28"/>
      <c r="K16" s="101"/>
      <c r="L16" s="54" t="s">
        <v>22</v>
      </c>
      <c r="M16" s="54">
        <f>B22</f>
        <v>28.6875</v>
      </c>
      <c r="N16" s="54">
        <f>B22</f>
        <v>28.6875</v>
      </c>
      <c r="O16" s="54">
        <f>B22</f>
        <v>28.6875</v>
      </c>
      <c r="P16" s="54">
        <f>B22</f>
        <v>28.6875</v>
      </c>
      <c r="Q16" s="54">
        <f>B22</f>
        <v>28.6875</v>
      </c>
      <c r="R16" s="54">
        <f>B22</f>
        <v>28.6875</v>
      </c>
      <c r="S16" s="54">
        <f>B22</f>
        <v>28.6875</v>
      </c>
      <c r="T16" s="54">
        <f>B22</f>
        <v>28.6875</v>
      </c>
    </row>
    <row r="17" spans="1:15">
      <c r="A17" s="39">
        <v>6</v>
      </c>
      <c r="B17" s="40" t="str">
        <f>D7</f>
        <v>28°C</v>
      </c>
      <c r="C17" s="40" t="str">
        <f>C8</f>
        <v>22h</v>
      </c>
      <c r="D17" s="40" t="str">
        <f>D9</f>
        <v>SB</v>
      </c>
      <c r="E17" s="41">
        <f t="shared" si="0"/>
        <v>32.5</v>
      </c>
      <c r="F17" s="28">
        <v>34.5</v>
      </c>
      <c r="G17" s="28">
        <v>32.5</v>
      </c>
      <c r="H17" s="28">
        <v>30.5</v>
      </c>
      <c r="I17" s="28"/>
      <c r="J17" s="28"/>
      <c r="K17" s="101"/>
    </row>
    <row r="18" spans="1:15">
      <c r="A18" s="39">
        <v>7</v>
      </c>
      <c r="B18" s="40" t="str">
        <f>D7</f>
        <v>28°C</v>
      </c>
      <c r="C18" s="40" t="str">
        <f>D8</f>
        <v>24h</v>
      </c>
      <c r="D18" s="40" t="str">
        <f>C9</f>
        <v>SA</v>
      </c>
      <c r="E18" s="41">
        <f t="shared" si="0"/>
        <v>26.5</v>
      </c>
      <c r="F18" s="28">
        <v>28.5</v>
      </c>
      <c r="G18" s="28">
        <v>26.5</v>
      </c>
      <c r="H18" s="28">
        <v>24.5</v>
      </c>
      <c r="I18" s="28"/>
      <c r="J18" s="28"/>
      <c r="K18" s="101"/>
      <c r="N18" s="103" t="str">
        <f>B7</f>
        <v>Temp.</v>
      </c>
      <c r="O18" s="103" t="str">
        <f>B7</f>
        <v>Temp.</v>
      </c>
    </row>
    <row r="19" spans="1:15">
      <c r="A19" s="39">
        <v>8</v>
      </c>
      <c r="B19" s="40" t="str">
        <f>D7</f>
        <v>28°C</v>
      </c>
      <c r="C19" s="40" t="str">
        <f>D8</f>
        <v>24h</v>
      </c>
      <c r="D19" s="40" t="str">
        <f>D9</f>
        <v>SB</v>
      </c>
      <c r="E19" s="41">
        <f t="shared" si="0"/>
        <v>30</v>
      </c>
      <c r="F19" s="28">
        <v>32</v>
      </c>
      <c r="G19" s="28">
        <v>30</v>
      </c>
      <c r="H19" s="28">
        <v>28</v>
      </c>
      <c r="I19" s="28"/>
      <c r="J19" s="28"/>
      <c r="K19" s="101"/>
      <c r="N19" s="57" t="str">
        <f>C7</f>
        <v>24°C</v>
      </c>
      <c r="O19" s="57" t="str">
        <f>D7</f>
        <v>28°C</v>
      </c>
    </row>
    <row r="20" spans="1:15" ht="16.2">
      <c r="B20" s="104"/>
      <c r="C20" s="104"/>
      <c r="D20" s="104"/>
      <c r="E20" s="104"/>
      <c r="F20" s="104"/>
      <c r="G20" s="104"/>
      <c r="H20" s="104"/>
      <c r="I20" s="104"/>
      <c r="J20" s="104"/>
      <c r="K20" s="105"/>
      <c r="L20" s="57" t="str">
        <f>C8</f>
        <v>22h</v>
      </c>
      <c r="M20" s="103" t="str">
        <f>B8</f>
        <v>Durée</v>
      </c>
      <c r="N20" s="54">
        <f>(E12+E13)/2</f>
        <v>28.55</v>
      </c>
      <c r="O20" s="54">
        <f>(E16+E17)/2</f>
        <v>29.85</v>
      </c>
    </row>
    <row r="21" spans="1:15">
      <c r="A21" s="43" t="s">
        <v>23</v>
      </c>
      <c r="B21" s="44" t="s">
        <v>24</v>
      </c>
      <c r="C21" s="45" t="str">
        <f>B7</f>
        <v>Temp.</v>
      </c>
      <c r="D21" s="45" t="str">
        <f>B8</f>
        <v>Durée</v>
      </c>
      <c r="E21" s="45" t="str">
        <f>B9</f>
        <v>Souche</v>
      </c>
      <c r="F21" s="106"/>
      <c r="G21" s="251" t="s">
        <v>218</v>
      </c>
      <c r="H21" s="252"/>
      <c r="I21" s="253"/>
      <c r="J21" s="104"/>
      <c r="K21" s="104"/>
      <c r="L21" s="57" t="str">
        <f>D8</f>
        <v>24h</v>
      </c>
      <c r="M21" s="103" t="str">
        <f>B8</f>
        <v>Durée</v>
      </c>
      <c r="N21" s="54">
        <f>(E14+E15)/2</f>
        <v>28.1</v>
      </c>
      <c r="O21" s="54">
        <f>(E18+E19)/2</f>
        <v>28.25</v>
      </c>
    </row>
    <row r="22" spans="1:15">
      <c r="A22" s="43" t="s">
        <v>27</v>
      </c>
      <c r="B22" s="46">
        <f>(SUM(E12:E19))/8</f>
        <v>28.6875</v>
      </c>
      <c r="C22" s="46">
        <f>((E12+E13+E14+E15)/4)-B22</f>
        <v>-0.36250000000000071</v>
      </c>
      <c r="D22" s="46">
        <f>((E12+E13+E16+E17)/4)-B22</f>
        <v>0.51249999999999929</v>
      </c>
      <c r="E22" s="46">
        <f>((E12+E14+E16+E18)/4)-B22</f>
        <v>-1.1625000000000014</v>
      </c>
      <c r="F22" s="107"/>
      <c r="G22" s="254" t="s">
        <v>219</v>
      </c>
      <c r="H22" s="255"/>
      <c r="I22" s="256"/>
      <c r="J22" s="104"/>
      <c r="K22" s="104"/>
      <c r="L22" s="54" t="s">
        <v>55</v>
      </c>
    </row>
    <row r="23" spans="1:15">
      <c r="A23" s="43" t="s">
        <v>28</v>
      </c>
      <c r="B23" s="46">
        <f>(SUM(E12:E19))/8</f>
        <v>28.6875</v>
      </c>
      <c r="C23" s="46">
        <f>((E16+E17+E18+E19)/4)-B23</f>
        <v>0.36250000000000071</v>
      </c>
      <c r="D23" s="46">
        <f>((E14+E15+E18+E19)/4)-B23</f>
        <v>-0.51249999999999929</v>
      </c>
      <c r="E23" s="46">
        <f>((E13+E15+E17+E19)/4)-B23</f>
        <v>1.1625000000000014</v>
      </c>
      <c r="F23" s="107"/>
      <c r="G23" s="104"/>
      <c r="H23" s="104"/>
      <c r="I23" s="104"/>
      <c r="J23" s="104"/>
      <c r="K23" s="104"/>
      <c r="L23" s="57" t="str">
        <f>C9</f>
        <v>SA</v>
      </c>
      <c r="M23" s="57" t="str">
        <f>B9</f>
        <v>Souche</v>
      </c>
      <c r="N23" s="54">
        <f>(E12+E14)/2</f>
        <v>28.2</v>
      </c>
      <c r="O23" s="54">
        <f>(E16+E18)/2</f>
        <v>26.85</v>
      </c>
    </row>
    <row r="24" spans="1:15">
      <c r="A24" s="108"/>
      <c r="B24" s="107"/>
      <c r="C24" s="107"/>
      <c r="D24" s="107"/>
      <c r="E24" s="107"/>
      <c r="F24" s="107"/>
      <c r="G24" s="104"/>
      <c r="H24" s="104"/>
      <c r="I24" s="104"/>
      <c r="J24" s="104"/>
      <c r="K24" s="104"/>
      <c r="L24" s="57" t="str">
        <f>D9</f>
        <v>SB</v>
      </c>
      <c r="M24" s="57" t="str">
        <f>B9</f>
        <v>Souche</v>
      </c>
      <c r="N24" s="54">
        <f>(E13+E15)/2</f>
        <v>28.450000000000003</v>
      </c>
      <c r="O24" s="54">
        <f>(E17+E19)/2</f>
        <v>31.25</v>
      </c>
    </row>
    <row r="25" spans="1:15">
      <c r="A25" s="108" t="s">
        <v>154</v>
      </c>
      <c r="B25" s="109"/>
      <c r="C25" s="110"/>
      <c r="D25" s="107"/>
      <c r="E25" s="111"/>
      <c r="F25" s="111"/>
      <c r="G25" s="104"/>
      <c r="H25" s="104"/>
      <c r="I25" s="104"/>
      <c r="J25" s="104"/>
      <c r="K25" s="104"/>
      <c r="M25" s="102"/>
    </row>
    <row r="26" spans="1:15">
      <c r="A26" s="108"/>
      <c r="B26" s="109"/>
      <c r="C26" s="110"/>
      <c r="D26" s="107"/>
      <c r="E26" s="111"/>
      <c r="F26" s="111"/>
      <c r="G26" s="104"/>
      <c r="H26" s="104"/>
      <c r="I26" s="104"/>
      <c r="J26" s="104"/>
      <c r="K26" s="104"/>
      <c r="M26" s="102"/>
    </row>
    <row r="27" spans="1:15">
      <c r="A27" s="108"/>
      <c r="B27" s="172" t="s">
        <v>224</v>
      </c>
      <c r="C27" s="172" t="s">
        <v>181</v>
      </c>
      <c r="D27" s="161" t="s">
        <v>182</v>
      </c>
      <c r="E27" s="161" t="s">
        <v>190</v>
      </c>
      <c r="F27" s="173" t="s">
        <v>180</v>
      </c>
      <c r="G27" s="161" t="s">
        <v>189</v>
      </c>
      <c r="H27" s="104"/>
      <c r="I27" s="104"/>
      <c r="J27" s="104"/>
      <c r="K27" s="104"/>
    </row>
    <row r="28" spans="1:15">
      <c r="A28" s="108"/>
      <c r="B28" s="174" t="s">
        <v>17</v>
      </c>
      <c r="C28" s="174" t="s">
        <v>149</v>
      </c>
      <c r="D28" s="163" t="s">
        <v>150</v>
      </c>
      <c r="E28" s="166" t="s">
        <v>155</v>
      </c>
      <c r="F28" s="175">
        <f t="shared" ref="F28:F35" si="1">IF(F12="","",F12)</f>
        <v>28.5</v>
      </c>
      <c r="G28" s="163" t="str">
        <f>IF(F28="","",CONCATENATE(C28,"_",D28,"_",E28))</f>
        <v>A1_B1_C1</v>
      </c>
      <c r="H28" s="107"/>
      <c r="I28" s="107"/>
      <c r="J28" s="107"/>
      <c r="K28" s="107"/>
    </row>
    <row r="29" spans="1:15">
      <c r="A29" s="107"/>
      <c r="B29" s="174" t="s">
        <v>17</v>
      </c>
      <c r="C29" s="174" t="s">
        <v>149</v>
      </c>
      <c r="D29" s="166" t="s">
        <v>150</v>
      </c>
      <c r="E29" s="166" t="s">
        <v>156</v>
      </c>
      <c r="F29" s="175">
        <f t="shared" si="1"/>
        <v>28.6</v>
      </c>
      <c r="G29" s="166" t="str">
        <f t="shared" ref="G29:G67" si="2">IF(F29="","",CONCATENATE(C29,"_",D29,"_",E29))</f>
        <v>A1_B1_C2</v>
      </c>
      <c r="H29" s="104"/>
      <c r="I29" s="104"/>
      <c r="J29" s="104"/>
      <c r="K29" s="104"/>
      <c r="N29" s="103" t="str">
        <f>B8</f>
        <v>Durée</v>
      </c>
      <c r="O29" s="103" t="str">
        <f>B8</f>
        <v>Durée</v>
      </c>
    </row>
    <row r="30" spans="1:15">
      <c r="A30" s="108"/>
      <c r="B30" s="174" t="s">
        <v>17</v>
      </c>
      <c r="C30" s="174" t="s">
        <v>149</v>
      </c>
      <c r="D30" s="166" t="s">
        <v>151</v>
      </c>
      <c r="E30" s="166" t="s">
        <v>155</v>
      </c>
      <c r="F30" s="175">
        <f t="shared" si="1"/>
        <v>27.9</v>
      </c>
      <c r="G30" s="166" t="str">
        <f t="shared" si="2"/>
        <v>A1_B2_C1</v>
      </c>
      <c r="H30" s="104"/>
      <c r="I30" s="104"/>
      <c r="J30" s="104"/>
      <c r="K30" s="104"/>
      <c r="N30" s="57" t="str">
        <f>C8</f>
        <v>22h</v>
      </c>
      <c r="O30" s="57" t="str">
        <f>D8</f>
        <v>24h</v>
      </c>
    </row>
    <row r="31" spans="1:15">
      <c r="A31" s="108"/>
      <c r="B31" s="174" t="s">
        <v>17</v>
      </c>
      <c r="C31" s="174" t="s">
        <v>149</v>
      </c>
      <c r="D31" s="166" t="s">
        <v>151</v>
      </c>
      <c r="E31" s="166" t="s">
        <v>156</v>
      </c>
      <c r="F31" s="175">
        <f t="shared" si="1"/>
        <v>28.3</v>
      </c>
      <c r="G31" s="166" t="str">
        <f t="shared" si="2"/>
        <v>A1_B2_C2</v>
      </c>
      <c r="H31" s="104"/>
      <c r="I31" s="104"/>
      <c r="J31" s="104"/>
      <c r="K31" s="104"/>
      <c r="L31" s="57" t="str">
        <f>C9</f>
        <v>SA</v>
      </c>
      <c r="M31" s="103" t="str">
        <f>B9</f>
        <v>Souche</v>
      </c>
      <c r="N31" s="54">
        <f>(E12+E16)/2</f>
        <v>27.85</v>
      </c>
      <c r="O31" s="54">
        <f>(E14+E18)/2</f>
        <v>27.2</v>
      </c>
    </row>
    <row r="32" spans="1:15">
      <c r="A32" s="108"/>
      <c r="B32" s="174" t="s">
        <v>17</v>
      </c>
      <c r="C32" s="174" t="s">
        <v>152</v>
      </c>
      <c r="D32" s="166" t="s">
        <v>150</v>
      </c>
      <c r="E32" s="166" t="s">
        <v>155</v>
      </c>
      <c r="F32" s="175">
        <f t="shared" si="1"/>
        <v>29.2</v>
      </c>
      <c r="G32" s="166" t="str">
        <f t="shared" si="2"/>
        <v>A2_B1_C1</v>
      </c>
      <c r="H32" s="104"/>
      <c r="I32" s="104"/>
      <c r="J32" s="104"/>
      <c r="K32" s="104"/>
      <c r="L32" s="57" t="str">
        <f>D9</f>
        <v>SB</v>
      </c>
      <c r="M32" s="57" t="str">
        <f>B9</f>
        <v>Souche</v>
      </c>
      <c r="N32" s="54">
        <f>(E13+E17)/2</f>
        <v>30.55</v>
      </c>
      <c r="O32" s="54">
        <f>(E15+E19)/2</f>
        <v>29.15</v>
      </c>
    </row>
    <row r="33" spans="1:11">
      <c r="A33" s="108"/>
      <c r="B33" s="174" t="s">
        <v>17</v>
      </c>
      <c r="C33" s="174" t="s">
        <v>152</v>
      </c>
      <c r="D33" s="166" t="s">
        <v>150</v>
      </c>
      <c r="E33" s="166" t="s">
        <v>156</v>
      </c>
      <c r="F33" s="175">
        <f t="shared" si="1"/>
        <v>34.5</v>
      </c>
      <c r="G33" s="166" t="str">
        <f t="shared" si="2"/>
        <v>A2_B1_C2</v>
      </c>
      <c r="H33" s="104"/>
      <c r="I33" s="104"/>
      <c r="J33" s="104"/>
      <c r="K33" s="104"/>
    </row>
    <row r="34" spans="1:11">
      <c r="A34" s="108"/>
      <c r="B34" s="174" t="s">
        <v>17</v>
      </c>
      <c r="C34" s="174" t="s">
        <v>152</v>
      </c>
      <c r="D34" s="166" t="s">
        <v>151</v>
      </c>
      <c r="E34" s="166" t="s">
        <v>155</v>
      </c>
      <c r="F34" s="175">
        <f t="shared" si="1"/>
        <v>28.5</v>
      </c>
      <c r="G34" s="166" t="str">
        <f t="shared" si="2"/>
        <v>A2_B2_C1</v>
      </c>
      <c r="H34" s="104"/>
      <c r="I34" s="104"/>
      <c r="J34" s="104"/>
      <c r="K34" s="104"/>
    </row>
    <row r="35" spans="1:11">
      <c r="A35" s="104"/>
      <c r="B35" s="176" t="s">
        <v>17</v>
      </c>
      <c r="C35" s="176" t="s">
        <v>152</v>
      </c>
      <c r="D35" s="168" t="s">
        <v>151</v>
      </c>
      <c r="E35" s="168" t="s">
        <v>156</v>
      </c>
      <c r="F35" s="177">
        <f t="shared" si="1"/>
        <v>32</v>
      </c>
      <c r="G35" s="168" t="str">
        <f t="shared" si="2"/>
        <v>A2_B2_C2</v>
      </c>
      <c r="H35" s="104"/>
      <c r="I35" s="104"/>
      <c r="J35" s="104"/>
      <c r="K35" s="104"/>
    </row>
    <row r="36" spans="1:11">
      <c r="A36" s="104"/>
      <c r="B36" s="174" t="s">
        <v>18</v>
      </c>
      <c r="C36" s="174" t="s">
        <v>149</v>
      </c>
      <c r="D36" s="166" t="s">
        <v>150</v>
      </c>
      <c r="E36" s="166" t="s">
        <v>155</v>
      </c>
      <c r="F36" s="178">
        <f t="shared" ref="F36:F43" si="3">IF(G12="","",G12)</f>
        <v>29.5</v>
      </c>
      <c r="G36" s="163" t="str">
        <f t="shared" si="2"/>
        <v>A1_B1_C1</v>
      </c>
      <c r="H36" s="104"/>
      <c r="I36" s="104"/>
      <c r="J36" s="104"/>
      <c r="K36" s="104"/>
    </row>
    <row r="37" spans="1:11">
      <c r="A37" s="104"/>
      <c r="B37" s="174" t="s">
        <v>18</v>
      </c>
      <c r="C37" s="174" t="s">
        <v>149</v>
      </c>
      <c r="D37" s="166" t="s">
        <v>150</v>
      </c>
      <c r="E37" s="166" t="s">
        <v>156</v>
      </c>
      <c r="F37" s="178">
        <f t="shared" si="3"/>
        <v>29.6</v>
      </c>
      <c r="G37" s="166" t="str">
        <f t="shared" si="2"/>
        <v>A1_B1_C2</v>
      </c>
      <c r="H37" s="104"/>
      <c r="I37" s="104"/>
      <c r="J37" s="104"/>
      <c r="K37" s="104"/>
    </row>
    <row r="38" spans="1:11">
      <c r="A38" s="108"/>
      <c r="B38" s="174" t="s">
        <v>18</v>
      </c>
      <c r="C38" s="174" t="s">
        <v>149</v>
      </c>
      <c r="D38" s="166" t="s">
        <v>151</v>
      </c>
      <c r="E38" s="166" t="s">
        <v>155</v>
      </c>
      <c r="F38" s="178">
        <f t="shared" si="3"/>
        <v>29.9</v>
      </c>
      <c r="G38" s="166" t="str">
        <f t="shared" si="2"/>
        <v>A1_B2_C1</v>
      </c>
      <c r="H38" s="104"/>
      <c r="I38" s="104"/>
      <c r="J38" s="104"/>
      <c r="K38" s="104"/>
    </row>
    <row r="39" spans="1:11" ht="15.6" customHeight="1">
      <c r="A39" s="112"/>
      <c r="B39" s="174" t="s">
        <v>18</v>
      </c>
      <c r="C39" s="174" t="s">
        <v>149</v>
      </c>
      <c r="D39" s="166" t="s">
        <v>151</v>
      </c>
      <c r="E39" s="166" t="s">
        <v>156</v>
      </c>
      <c r="F39" s="178">
        <f t="shared" si="3"/>
        <v>29.3</v>
      </c>
      <c r="G39" s="166" t="str">
        <f t="shared" si="2"/>
        <v>A1_B2_C2</v>
      </c>
      <c r="H39" s="114"/>
      <c r="I39" s="104"/>
      <c r="J39" s="104"/>
      <c r="K39" s="104"/>
    </row>
    <row r="40" spans="1:11">
      <c r="A40" s="115"/>
      <c r="B40" s="174" t="s">
        <v>18</v>
      </c>
      <c r="C40" s="174" t="s">
        <v>152</v>
      </c>
      <c r="D40" s="166" t="s">
        <v>150</v>
      </c>
      <c r="E40" s="166" t="s">
        <v>155</v>
      </c>
      <c r="F40" s="178">
        <f t="shared" si="3"/>
        <v>27.2</v>
      </c>
      <c r="G40" s="166" t="str">
        <f t="shared" si="2"/>
        <v>A2_B1_C1</v>
      </c>
      <c r="H40" s="117"/>
      <c r="I40" s="104"/>
      <c r="J40" s="104"/>
      <c r="K40" s="104"/>
    </row>
    <row r="41" spans="1:11">
      <c r="A41" s="115"/>
      <c r="B41" s="174" t="s">
        <v>18</v>
      </c>
      <c r="C41" s="174" t="s">
        <v>152</v>
      </c>
      <c r="D41" s="166" t="s">
        <v>150</v>
      </c>
      <c r="E41" s="166" t="s">
        <v>156</v>
      </c>
      <c r="F41" s="178">
        <f t="shared" si="3"/>
        <v>32.5</v>
      </c>
      <c r="G41" s="166" t="str">
        <f t="shared" si="2"/>
        <v>A2_B1_C2</v>
      </c>
      <c r="H41" s="117"/>
      <c r="I41" s="104"/>
      <c r="J41" s="104"/>
      <c r="K41" s="104"/>
    </row>
    <row r="42" spans="1:11">
      <c r="A42" s="115"/>
      <c r="B42" s="174" t="s">
        <v>18</v>
      </c>
      <c r="C42" s="174" t="s">
        <v>152</v>
      </c>
      <c r="D42" s="166" t="s">
        <v>151</v>
      </c>
      <c r="E42" s="166" t="s">
        <v>155</v>
      </c>
      <c r="F42" s="178">
        <f t="shared" si="3"/>
        <v>26.5</v>
      </c>
      <c r="G42" s="166" t="str">
        <f t="shared" si="2"/>
        <v>A2_B2_C1</v>
      </c>
      <c r="H42" s="117"/>
      <c r="I42" s="104"/>
      <c r="J42" s="104"/>
      <c r="K42" s="104"/>
    </row>
    <row r="43" spans="1:11" s="75" customFormat="1" ht="16.2">
      <c r="A43" s="118"/>
      <c r="B43" s="176" t="s">
        <v>18</v>
      </c>
      <c r="C43" s="176" t="s">
        <v>152</v>
      </c>
      <c r="D43" s="168" t="s">
        <v>151</v>
      </c>
      <c r="E43" s="168" t="s">
        <v>156</v>
      </c>
      <c r="F43" s="177">
        <f t="shared" si="3"/>
        <v>30</v>
      </c>
      <c r="G43" s="168" t="str">
        <f t="shared" si="2"/>
        <v>A2_B2_C2</v>
      </c>
      <c r="H43" s="119"/>
      <c r="I43" s="120"/>
      <c r="J43" s="120"/>
      <c r="K43" s="120"/>
    </row>
    <row r="44" spans="1:11" s="75" customFormat="1" ht="16.2">
      <c r="A44" s="118"/>
      <c r="B44" s="174" t="s">
        <v>19</v>
      </c>
      <c r="C44" s="174" t="s">
        <v>149</v>
      </c>
      <c r="D44" s="166" t="s">
        <v>150</v>
      </c>
      <c r="E44" s="166" t="s">
        <v>155</v>
      </c>
      <c r="F44" s="175">
        <f t="shared" ref="F44:F51" si="4">IF(H12="","",H12)</f>
        <v>28.5</v>
      </c>
      <c r="G44" s="163" t="str">
        <f t="shared" si="2"/>
        <v>A1_B1_C1</v>
      </c>
      <c r="H44" s="119"/>
      <c r="I44" s="120"/>
      <c r="J44" s="120"/>
      <c r="K44" s="120"/>
    </row>
    <row r="45" spans="1:11" s="75" customFormat="1" ht="16.2">
      <c r="A45" s="118"/>
      <c r="B45" s="174" t="s">
        <v>19</v>
      </c>
      <c r="C45" s="174" t="s">
        <v>149</v>
      </c>
      <c r="D45" s="166" t="s">
        <v>150</v>
      </c>
      <c r="E45" s="166" t="s">
        <v>156</v>
      </c>
      <c r="F45" s="175">
        <f t="shared" si="4"/>
        <v>28.6</v>
      </c>
      <c r="G45" s="166" t="str">
        <f t="shared" si="2"/>
        <v>A1_B1_C2</v>
      </c>
      <c r="H45" s="119"/>
      <c r="I45" s="120"/>
      <c r="J45" s="120"/>
      <c r="K45" s="120"/>
    </row>
    <row r="46" spans="1:11">
      <c r="A46" s="121"/>
      <c r="B46" s="174" t="s">
        <v>19</v>
      </c>
      <c r="C46" s="174" t="s">
        <v>149</v>
      </c>
      <c r="D46" s="166" t="s">
        <v>151</v>
      </c>
      <c r="E46" s="166" t="s">
        <v>155</v>
      </c>
      <c r="F46" s="175">
        <f t="shared" si="4"/>
        <v>27.9</v>
      </c>
      <c r="G46" s="166" t="str">
        <f t="shared" si="2"/>
        <v>A1_B2_C1</v>
      </c>
      <c r="H46" s="104"/>
      <c r="I46" s="104"/>
      <c r="J46" s="104"/>
      <c r="K46" s="104"/>
    </row>
    <row r="47" spans="1:11">
      <c r="A47" s="121"/>
      <c r="B47" s="174" t="s">
        <v>19</v>
      </c>
      <c r="C47" s="174" t="s">
        <v>149</v>
      </c>
      <c r="D47" s="166" t="s">
        <v>151</v>
      </c>
      <c r="E47" s="166" t="s">
        <v>156</v>
      </c>
      <c r="F47" s="175">
        <f t="shared" si="4"/>
        <v>28.3</v>
      </c>
      <c r="G47" s="166" t="str">
        <f t="shared" si="2"/>
        <v>A1_B2_C2</v>
      </c>
      <c r="H47" s="104"/>
      <c r="I47" s="104"/>
      <c r="J47" s="104"/>
      <c r="K47" s="104"/>
    </row>
    <row r="48" spans="1:11">
      <c r="A48" s="104"/>
      <c r="B48" s="174" t="s">
        <v>19</v>
      </c>
      <c r="C48" s="174" t="s">
        <v>152</v>
      </c>
      <c r="D48" s="166" t="s">
        <v>150</v>
      </c>
      <c r="E48" s="166" t="s">
        <v>155</v>
      </c>
      <c r="F48" s="175">
        <f t="shared" si="4"/>
        <v>25.2</v>
      </c>
      <c r="G48" s="166" t="str">
        <f t="shared" si="2"/>
        <v>A2_B1_C1</v>
      </c>
      <c r="H48" s="104"/>
      <c r="I48" s="104"/>
      <c r="J48" s="104"/>
      <c r="K48" s="104"/>
    </row>
    <row r="49" spans="1:11">
      <c r="A49" s="104"/>
      <c r="B49" s="174" t="s">
        <v>19</v>
      </c>
      <c r="C49" s="174" t="s">
        <v>152</v>
      </c>
      <c r="D49" s="166" t="s">
        <v>150</v>
      </c>
      <c r="E49" s="166" t="s">
        <v>156</v>
      </c>
      <c r="F49" s="175">
        <f t="shared" si="4"/>
        <v>30.5</v>
      </c>
      <c r="G49" s="166" t="str">
        <f t="shared" si="2"/>
        <v>A2_B1_C2</v>
      </c>
      <c r="H49" s="104"/>
      <c r="I49" s="104"/>
      <c r="J49" s="104"/>
      <c r="K49" s="104"/>
    </row>
    <row r="50" spans="1:11">
      <c r="A50" s="104"/>
      <c r="B50" s="174" t="s">
        <v>19</v>
      </c>
      <c r="C50" s="174" t="s">
        <v>152</v>
      </c>
      <c r="D50" s="166" t="s">
        <v>151</v>
      </c>
      <c r="E50" s="166" t="s">
        <v>155</v>
      </c>
      <c r="F50" s="175">
        <f t="shared" si="4"/>
        <v>24.5</v>
      </c>
      <c r="G50" s="166" t="str">
        <f t="shared" si="2"/>
        <v>A2_B2_C1</v>
      </c>
      <c r="H50" s="104"/>
      <c r="I50" s="104"/>
      <c r="J50" s="104"/>
      <c r="K50" s="104"/>
    </row>
    <row r="51" spans="1:11">
      <c r="A51" s="104"/>
      <c r="B51" s="176" t="s">
        <v>19</v>
      </c>
      <c r="C51" s="176" t="s">
        <v>152</v>
      </c>
      <c r="D51" s="168" t="s">
        <v>151</v>
      </c>
      <c r="E51" s="168" t="s">
        <v>156</v>
      </c>
      <c r="F51" s="177">
        <f t="shared" si="4"/>
        <v>28</v>
      </c>
      <c r="G51" s="168" t="str">
        <f t="shared" si="2"/>
        <v>A2_B2_C2</v>
      </c>
      <c r="H51" s="104"/>
      <c r="I51" s="104"/>
      <c r="J51" s="104"/>
      <c r="K51" s="104"/>
    </row>
    <row r="52" spans="1:11">
      <c r="A52" s="104"/>
      <c r="B52" s="174" t="s">
        <v>20</v>
      </c>
      <c r="C52" s="174" t="s">
        <v>149</v>
      </c>
      <c r="D52" s="166" t="s">
        <v>150</v>
      </c>
      <c r="E52" s="166" t="s">
        <v>155</v>
      </c>
      <c r="F52" s="175" t="str">
        <f t="shared" ref="F52:F59" si="5">IF(I12="","",I12)</f>
        <v/>
      </c>
      <c r="G52" s="163" t="str">
        <f t="shared" si="2"/>
        <v/>
      </c>
      <c r="H52" s="104"/>
      <c r="I52" s="104"/>
      <c r="J52" s="104"/>
      <c r="K52" s="104"/>
    </row>
    <row r="53" spans="1:11">
      <c r="A53" s="104"/>
      <c r="B53" s="174" t="s">
        <v>20</v>
      </c>
      <c r="C53" s="174" t="s">
        <v>149</v>
      </c>
      <c r="D53" s="166" t="s">
        <v>150</v>
      </c>
      <c r="E53" s="166" t="s">
        <v>156</v>
      </c>
      <c r="F53" s="175" t="str">
        <f t="shared" si="5"/>
        <v/>
      </c>
      <c r="G53" s="166" t="str">
        <f t="shared" si="2"/>
        <v/>
      </c>
      <c r="H53" s="104"/>
      <c r="I53" s="104"/>
      <c r="J53" s="104"/>
      <c r="K53" s="104"/>
    </row>
    <row r="54" spans="1:11">
      <c r="A54" s="104"/>
      <c r="B54" s="174" t="s">
        <v>20</v>
      </c>
      <c r="C54" s="174" t="s">
        <v>149</v>
      </c>
      <c r="D54" s="166" t="s">
        <v>151</v>
      </c>
      <c r="E54" s="166" t="s">
        <v>155</v>
      </c>
      <c r="F54" s="175" t="str">
        <f t="shared" si="5"/>
        <v/>
      </c>
      <c r="G54" s="166" t="str">
        <f t="shared" si="2"/>
        <v/>
      </c>
      <c r="H54" s="104"/>
      <c r="I54" s="104"/>
      <c r="J54" s="104"/>
      <c r="K54" s="104"/>
    </row>
    <row r="55" spans="1:11" ht="13.2">
      <c r="A55" s="54"/>
      <c r="B55" s="174" t="s">
        <v>20</v>
      </c>
      <c r="C55" s="174" t="s">
        <v>149</v>
      </c>
      <c r="D55" s="166" t="s">
        <v>151</v>
      </c>
      <c r="E55" s="166" t="s">
        <v>156</v>
      </c>
      <c r="F55" s="175" t="str">
        <f t="shared" si="5"/>
        <v/>
      </c>
      <c r="G55" s="166" t="str">
        <f t="shared" si="2"/>
        <v/>
      </c>
      <c r="H55" s="54"/>
      <c r="I55" s="54"/>
      <c r="J55" s="54"/>
      <c r="K55" s="54"/>
    </row>
    <row r="56" spans="1:11" ht="13.2">
      <c r="A56" s="54"/>
      <c r="B56" s="174" t="s">
        <v>20</v>
      </c>
      <c r="C56" s="174" t="s">
        <v>152</v>
      </c>
      <c r="D56" s="166" t="s">
        <v>150</v>
      </c>
      <c r="E56" s="166" t="s">
        <v>155</v>
      </c>
      <c r="F56" s="175" t="str">
        <f t="shared" si="5"/>
        <v/>
      </c>
      <c r="G56" s="166" t="str">
        <f t="shared" si="2"/>
        <v/>
      </c>
      <c r="H56" s="54"/>
      <c r="I56" s="54"/>
      <c r="J56" s="54"/>
      <c r="K56" s="54"/>
    </row>
    <row r="57" spans="1:11" ht="13.2">
      <c r="A57" s="54"/>
      <c r="B57" s="174" t="s">
        <v>20</v>
      </c>
      <c r="C57" s="174" t="s">
        <v>152</v>
      </c>
      <c r="D57" s="166" t="s">
        <v>150</v>
      </c>
      <c r="E57" s="166" t="s">
        <v>156</v>
      </c>
      <c r="F57" s="175" t="str">
        <f t="shared" si="5"/>
        <v/>
      </c>
      <c r="G57" s="166" t="str">
        <f t="shared" si="2"/>
        <v/>
      </c>
      <c r="H57" s="54"/>
      <c r="I57" s="54"/>
      <c r="J57" s="54"/>
      <c r="K57" s="54"/>
    </row>
    <row r="58" spans="1:11" ht="13.2">
      <c r="A58" s="54"/>
      <c r="B58" s="174" t="s">
        <v>20</v>
      </c>
      <c r="C58" s="174" t="s">
        <v>152</v>
      </c>
      <c r="D58" s="166" t="s">
        <v>151</v>
      </c>
      <c r="E58" s="166" t="s">
        <v>155</v>
      </c>
      <c r="F58" s="175" t="str">
        <f t="shared" si="5"/>
        <v/>
      </c>
      <c r="G58" s="166" t="str">
        <f t="shared" si="2"/>
        <v/>
      </c>
      <c r="H58" s="54"/>
      <c r="I58" s="54"/>
      <c r="J58" s="54"/>
      <c r="K58" s="54"/>
    </row>
    <row r="59" spans="1:11" ht="13.2">
      <c r="A59" s="54"/>
      <c r="B59" s="176" t="s">
        <v>20</v>
      </c>
      <c r="C59" s="176" t="s">
        <v>152</v>
      </c>
      <c r="D59" s="168" t="s">
        <v>151</v>
      </c>
      <c r="E59" s="168" t="s">
        <v>156</v>
      </c>
      <c r="F59" s="177" t="str">
        <f t="shared" si="5"/>
        <v/>
      </c>
      <c r="G59" s="168" t="str">
        <f t="shared" si="2"/>
        <v/>
      </c>
      <c r="H59" s="54"/>
      <c r="I59" s="54"/>
      <c r="J59" s="54"/>
      <c r="K59" s="54"/>
    </row>
    <row r="60" spans="1:11" ht="13.2">
      <c r="A60" s="54"/>
      <c r="B60" s="174" t="s">
        <v>21</v>
      </c>
      <c r="C60" s="174" t="s">
        <v>149</v>
      </c>
      <c r="D60" s="166" t="s">
        <v>150</v>
      </c>
      <c r="E60" s="166" t="s">
        <v>155</v>
      </c>
      <c r="F60" s="175" t="str">
        <f t="shared" ref="F60:F67" si="6">IF(J12="","",J12)</f>
        <v/>
      </c>
      <c r="G60" s="163" t="str">
        <f t="shared" si="2"/>
        <v/>
      </c>
      <c r="H60" s="54"/>
      <c r="I60" s="54"/>
      <c r="J60" s="54"/>
      <c r="K60" s="54"/>
    </row>
    <row r="61" spans="1:11" ht="13.2">
      <c r="A61" s="54"/>
      <c r="B61" s="174" t="s">
        <v>21</v>
      </c>
      <c r="C61" s="174" t="s">
        <v>149</v>
      </c>
      <c r="D61" s="166" t="s">
        <v>150</v>
      </c>
      <c r="E61" s="166" t="s">
        <v>156</v>
      </c>
      <c r="F61" s="175" t="str">
        <f t="shared" si="6"/>
        <v/>
      </c>
      <c r="G61" s="166" t="str">
        <f t="shared" si="2"/>
        <v/>
      </c>
      <c r="H61" s="54"/>
      <c r="I61" s="54"/>
      <c r="J61" s="54"/>
      <c r="K61" s="54"/>
    </row>
    <row r="62" spans="1:11" ht="13.2">
      <c r="A62" s="54"/>
      <c r="B62" s="174" t="s">
        <v>21</v>
      </c>
      <c r="C62" s="174" t="s">
        <v>149</v>
      </c>
      <c r="D62" s="166" t="s">
        <v>151</v>
      </c>
      <c r="E62" s="166" t="s">
        <v>155</v>
      </c>
      <c r="F62" s="175" t="str">
        <f t="shared" si="6"/>
        <v/>
      </c>
      <c r="G62" s="166" t="str">
        <f t="shared" si="2"/>
        <v/>
      </c>
      <c r="H62" s="54"/>
      <c r="I62" s="54"/>
      <c r="J62" s="54"/>
      <c r="K62" s="54"/>
    </row>
    <row r="63" spans="1:11" ht="13.2">
      <c r="A63" s="54"/>
      <c r="B63" s="174" t="s">
        <v>21</v>
      </c>
      <c r="C63" s="174" t="s">
        <v>149</v>
      </c>
      <c r="D63" s="166" t="s">
        <v>151</v>
      </c>
      <c r="E63" s="166" t="s">
        <v>156</v>
      </c>
      <c r="F63" s="175" t="str">
        <f t="shared" si="6"/>
        <v/>
      </c>
      <c r="G63" s="166" t="str">
        <f t="shared" si="2"/>
        <v/>
      </c>
      <c r="H63" s="54"/>
      <c r="I63" s="54"/>
      <c r="J63" s="54"/>
      <c r="K63" s="54"/>
    </row>
    <row r="64" spans="1:11" ht="13.2">
      <c r="A64" s="54"/>
      <c r="B64" s="174" t="s">
        <v>21</v>
      </c>
      <c r="C64" s="174" t="s">
        <v>152</v>
      </c>
      <c r="D64" s="166" t="s">
        <v>150</v>
      </c>
      <c r="E64" s="166" t="s">
        <v>155</v>
      </c>
      <c r="F64" s="175" t="str">
        <f t="shared" si="6"/>
        <v/>
      </c>
      <c r="G64" s="166" t="str">
        <f t="shared" si="2"/>
        <v/>
      </c>
      <c r="H64" s="54"/>
      <c r="I64" s="54"/>
      <c r="J64" s="54"/>
      <c r="K64" s="54"/>
    </row>
    <row r="65" spans="1:11" ht="13.2">
      <c r="A65" s="54"/>
      <c r="B65" s="174" t="s">
        <v>21</v>
      </c>
      <c r="C65" s="174" t="s">
        <v>152</v>
      </c>
      <c r="D65" s="166" t="s">
        <v>150</v>
      </c>
      <c r="E65" s="166" t="s">
        <v>156</v>
      </c>
      <c r="F65" s="175" t="str">
        <f t="shared" si="6"/>
        <v/>
      </c>
      <c r="G65" s="166" t="str">
        <f t="shared" si="2"/>
        <v/>
      </c>
      <c r="H65" s="54"/>
      <c r="I65" s="54"/>
      <c r="J65" s="54"/>
      <c r="K65" s="54"/>
    </row>
    <row r="66" spans="1:11" ht="13.2">
      <c r="A66" s="54"/>
      <c r="B66" s="174" t="s">
        <v>21</v>
      </c>
      <c r="C66" s="174" t="s">
        <v>152</v>
      </c>
      <c r="D66" s="166" t="s">
        <v>151</v>
      </c>
      <c r="E66" s="166" t="s">
        <v>155</v>
      </c>
      <c r="F66" s="175" t="str">
        <f t="shared" si="6"/>
        <v/>
      </c>
      <c r="G66" s="166" t="str">
        <f t="shared" si="2"/>
        <v/>
      </c>
      <c r="H66" s="54"/>
      <c r="I66" s="54"/>
      <c r="J66" s="54"/>
      <c r="K66" s="54"/>
    </row>
    <row r="67" spans="1:11" ht="13.2">
      <c r="A67" s="54"/>
      <c r="B67" s="176" t="s">
        <v>21</v>
      </c>
      <c r="C67" s="176" t="s">
        <v>152</v>
      </c>
      <c r="D67" s="168" t="s">
        <v>151</v>
      </c>
      <c r="E67" s="168" t="s">
        <v>156</v>
      </c>
      <c r="F67" s="177" t="str">
        <f t="shared" si="6"/>
        <v/>
      </c>
      <c r="G67" s="168" t="str">
        <f t="shared" si="2"/>
        <v/>
      </c>
      <c r="H67" s="54"/>
      <c r="I67" s="54"/>
      <c r="J67" s="54"/>
      <c r="K67" s="54"/>
    </row>
    <row r="68" spans="1:11">
      <c r="A68" s="54"/>
      <c r="F68" s="54"/>
      <c r="G68" s="54"/>
      <c r="H68" s="54"/>
      <c r="I68" s="54"/>
      <c r="J68" s="54"/>
      <c r="K68" s="54"/>
    </row>
    <row r="69" spans="1:11">
      <c r="A69" s="54"/>
      <c r="F69" s="54"/>
      <c r="G69" s="54"/>
      <c r="H69" s="54"/>
      <c r="I69" s="54"/>
      <c r="J69" s="54"/>
      <c r="K69" s="54"/>
    </row>
    <row r="70" spans="1:11" ht="14.4">
      <c r="A70" s="243" t="s">
        <v>183</v>
      </c>
      <c r="B70" s="241"/>
      <c r="C70" s="241"/>
      <c r="D70" s="241"/>
      <c r="E70" s="241"/>
      <c r="F70" s="241"/>
      <c r="G70" s="241"/>
      <c r="H70" s="241"/>
      <c r="I70" s="54"/>
      <c r="J70" s="54"/>
      <c r="K70" s="54"/>
    </row>
    <row r="71" spans="1:11" ht="13.2">
      <c r="A71" s="54"/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2" spans="1:11" ht="13.2">
      <c r="A72" s="54"/>
      <c r="B72" s="77" t="s">
        <v>213</v>
      </c>
      <c r="C72" s="54"/>
      <c r="D72" s="54"/>
      <c r="E72" s="54"/>
      <c r="F72" s="54"/>
      <c r="G72" s="54"/>
      <c r="H72" s="54"/>
      <c r="I72" s="54"/>
      <c r="J72" s="54"/>
      <c r="K72" s="54"/>
    </row>
    <row r="73" spans="1:11" ht="13.2">
      <c r="A73" s="54"/>
      <c r="B73" s="77"/>
      <c r="C73" s="77" t="s">
        <v>212</v>
      </c>
      <c r="D73" s="54"/>
      <c r="E73" s="54"/>
      <c r="F73" s="54"/>
      <c r="G73" s="54"/>
      <c r="H73" s="54"/>
      <c r="I73" s="54"/>
      <c r="J73" s="54"/>
      <c r="K73" s="54"/>
    </row>
    <row r="74" spans="1:11" ht="13.2">
      <c r="A74" s="54"/>
      <c r="B74" s="54"/>
      <c r="C74" s="54"/>
      <c r="D74" s="54"/>
      <c r="E74" s="54"/>
      <c r="F74" s="54"/>
      <c r="G74" s="54"/>
      <c r="H74" s="54"/>
      <c r="I74" s="54"/>
      <c r="J74" s="54"/>
      <c r="K74" s="54"/>
    </row>
    <row r="75" spans="1:11">
      <c r="A75" s="54"/>
      <c r="B75" s="64" t="s">
        <v>184</v>
      </c>
      <c r="C75" s="54"/>
      <c r="F75" s="54"/>
      <c r="G75" s="54"/>
      <c r="H75" s="54"/>
      <c r="I75" s="54"/>
      <c r="J75" s="54"/>
      <c r="K75" s="54"/>
    </row>
    <row r="76" spans="1:11">
      <c r="A76" s="54"/>
      <c r="B76" s="77" t="s">
        <v>216</v>
      </c>
      <c r="C76" s="54"/>
      <c r="F76" s="54"/>
      <c r="G76" s="54"/>
      <c r="H76" s="54"/>
      <c r="I76" s="54"/>
      <c r="J76" s="54"/>
      <c r="K76" s="54"/>
    </row>
    <row r="77" spans="1:11">
      <c r="A77" s="54"/>
      <c r="B77" s="77"/>
      <c r="C77" s="240" t="s">
        <v>193</v>
      </c>
      <c r="D77" s="242"/>
      <c r="E77" s="242"/>
      <c r="F77" s="241"/>
      <c r="G77" s="241"/>
      <c r="H77" s="241"/>
      <c r="I77" s="54"/>
      <c r="J77" s="54"/>
      <c r="K77" s="54"/>
    </row>
    <row r="78" spans="1:11">
      <c r="A78" s="54"/>
      <c r="B78" s="77"/>
      <c r="C78" s="240" t="s">
        <v>194</v>
      </c>
      <c r="D78" s="242"/>
      <c r="E78" s="242"/>
      <c r="F78" s="241"/>
      <c r="G78" s="241"/>
      <c r="H78" s="241"/>
      <c r="I78" s="54"/>
      <c r="J78" s="54"/>
      <c r="K78" s="54"/>
    </row>
    <row r="79" spans="1:11">
      <c r="A79" s="54"/>
      <c r="B79" s="77"/>
      <c r="C79" s="240" t="s">
        <v>195</v>
      </c>
      <c r="D79" s="242"/>
      <c r="E79" s="242"/>
      <c r="F79" s="241"/>
      <c r="G79" s="241"/>
      <c r="H79" s="241"/>
      <c r="I79" s="54"/>
      <c r="J79" s="54"/>
      <c r="K79" s="54"/>
    </row>
    <row r="80" spans="1:11">
      <c r="A80" s="54"/>
      <c r="B80" s="77"/>
      <c r="C80" s="54"/>
      <c r="F80" s="54"/>
      <c r="G80" s="54"/>
      <c r="H80" s="54"/>
      <c r="I80" s="54"/>
      <c r="J80" s="54"/>
      <c r="K80" s="54"/>
    </row>
    <row r="81" spans="1:11" ht="13.2">
      <c r="A81" s="54"/>
      <c r="B81" s="77" t="s">
        <v>217</v>
      </c>
      <c r="C81" s="54"/>
      <c r="D81" s="54"/>
      <c r="E81" s="54"/>
      <c r="F81" s="54"/>
      <c r="G81" s="54"/>
      <c r="H81" s="54"/>
      <c r="I81" s="54"/>
      <c r="J81" s="54"/>
      <c r="K81" s="54"/>
    </row>
    <row r="82" spans="1:11" ht="13.2">
      <c r="A82" s="54"/>
      <c r="B82" s="77" t="s">
        <v>191</v>
      </c>
      <c r="C82" s="54"/>
      <c r="D82" s="54"/>
      <c r="E82" s="54"/>
      <c r="F82" s="54"/>
      <c r="G82" s="54"/>
      <c r="H82" s="54"/>
      <c r="I82" s="54"/>
      <c r="J82" s="54"/>
      <c r="K82" s="54"/>
    </row>
    <row r="83" spans="1:11" ht="13.8">
      <c r="A83" s="54"/>
      <c r="B83" s="77"/>
      <c r="C83" s="240" t="s">
        <v>223</v>
      </c>
      <c r="D83" s="240"/>
      <c r="E83" s="240"/>
      <c r="F83" s="240"/>
      <c r="G83" s="241"/>
      <c r="H83" s="241"/>
      <c r="I83" s="54"/>
      <c r="J83" s="54"/>
      <c r="K83" s="54"/>
    </row>
    <row r="84" spans="1:11" ht="13.8">
      <c r="A84" s="54"/>
      <c r="B84" s="77"/>
      <c r="C84" s="240" t="s">
        <v>222</v>
      </c>
      <c r="D84" s="241"/>
      <c r="E84" s="241"/>
      <c r="F84" s="241"/>
      <c r="G84" s="241"/>
      <c r="H84" s="241"/>
      <c r="I84" s="54"/>
      <c r="J84" s="54"/>
      <c r="K84" s="54"/>
    </row>
    <row r="85" spans="1:11" ht="13.2">
      <c r="A85" s="54"/>
      <c r="B85" s="77"/>
      <c r="C85" s="54"/>
      <c r="D85" s="54"/>
      <c r="E85" s="54"/>
      <c r="F85" s="54"/>
      <c r="G85" s="54"/>
      <c r="H85" s="54"/>
      <c r="I85" s="54"/>
      <c r="J85" s="54"/>
      <c r="K85" s="54"/>
    </row>
    <row r="86" spans="1:11" ht="13.2">
      <c r="A86" s="54"/>
      <c r="B86" s="77" t="s">
        <v>192</v>
      </c>
      <c r="C86" s="54"/>
      <c r="D86" s="54"/>
      <c r="E86" s="54"/>
      <c r="F86" s="54"/>
      <c r="G86" s="54"/>
      <c r="H86" s="54"/>
      <c r="I86" s="54"/>
      <c r="J86" s="54"/>
      <c r="K86" s="54"/>
    </row>
    <row r="87" spans="1:11" ht="13.2">
      <c r="A87" s="54"/>
      <c r="B87" s="77"/>
      <c r="C87" s="77" t="s">
        <v>225</v>
      </c>
      <c r="D87" s="54"/>
      <c r="E87" s="54"/>
      <c r="F87" s="54"/>
      <c r="G87" s="54"/>
      <c r="H87" s="54"/>
      <c r="I87" s="54"/>
      <c r="J87" s="54"/>
      <c r="K87" s="54"/>
    </row>
    <row r="88" spans="1:11" ht="13.2">
      <c r="A88" s="54"/>
      <c r="B88" s="77"/>
      <c r="C88" s="263" t="s">
        <v>226</v>
      </c>
      <c r="D88" s="54"/>
      <c r="E88" s="54"/>
      <c r="F88" s="54"/>
      <c r="G88" s="54"/>
      <c r="H88" s="54"/>
      <c r="I88" s="54"/>
      <c r="J88" s="54"/>
      <c r="K88" s="54"/>
    </row>
    <row r="89" spans="1:11" ht="13.2">
      <c r="A89" s="54"/>
      <c r="B89" s="77"/>
      <c r="C89" s="77" t="s">
        <v>227</v>
      </c>
      <c r="D89" s="54"/>
      <c r="E89" s="54"/>
      <c r="F89" s="54"/>
      <c r="G89" s="54"/>
      <c r="H89" s="54"/>
      <c r="I89" s="54"/>
      <c r="J89" s="54"/>
      <c r="K89" s="54"/>
    </row>
    <row r="90" spans="1:11" ht="13.2">
      <c r="A90" s="54"/>
      <c r="B90" s="77"/>
      <c r="C90" s="263" t="s">
        <v>228</v>
      </c>
      <c r="D90" s="54"/>
      <c r="E90" s="54"/>
      <c r="F90" s="54"/>
      <c r="G90" s="54"/>
      <c r="H90" s="54"/>
      <c r="I90" s="54"/>
      <c r="J90" s="54"/>
      <c r="K90" s="54"/>
    </row>
    <row r="91" spans="1:11" ht="13.2">
      <c r="A91" s="54"/>
      <c r="B91" s="77"/>
      <c r="C91" s="77" t="s">
        <v>229</v>
      </c>
      <c r="D91" s="54"/>
      <c r="E91" s="54"/>
      <c r="F91" s="54"/>
      <c r="G91" s="54"/>
      <c r="H91" s="54"/>
      <c r="I91" s="54"/>
      <c r="J91" s="54"/>
      <c r="K91" s="54"/>
    </row>
    <row r="92" spans="1:11" ht="13.2">
      <c r="A92" s="54"/>
      <c r="B92" s="77"/>
      <c r="C92" s="77" t="s">
        <v>230</v>
      </c>
      <c r="D92" s="54"/>
      <c r="E92" s="54"/>
      <c r="F92" s="54"/>
      <c r="G92" s="54"/>
      <c r="H92" s="54"/>
      <c r="I92" s="54"/>
      <c r="J92" s="54"/>
      <c r="K92" s="54"/>
    </row>
    <row r="93" spans="1:11" ht="13.2">
      <c r="A93" s="54"/>
      <c r="B93" s="77"/>
      <c r="C93" s="77"/>
      <c r="D93" s="54"/>
      <c r="E93" s="54"/>
      <c r="F93" s="54"/>
      <c r="G93" s="54"/>
      <c r="H93" s="54"/>
      <c r="I93" s="54"/>
      <c r="J93" s="54"/>
      <c r="K93" s="54"/>
    </row>
    <row r="94" spans="1:11" ht="13.2">
      <c r="A94" s="54"/>
      <c r="B94" s="77"/>
      <c r="C94" s="77" t="s">
        <v>231</v>
      </c>
      <c r="D94" s="54"/>
      <c r="E94" s="54"/>
      <c r="F94" s="54"/>
      <c r="G94" s="54"/>
      <c r="H94" s="54"/>
      <c r="I94" s="54"/>
      <c r="J94" s="54"/>
      <c r="K94" s="54"/>
    </row>
    <row r="95" spans="1:11" ht="13.8">
      <c r="A95" s="54"/>
      <c r="B95" s="54"/>
      <c r="C95" s="240" t="s">
        <v>196</v>
      </c>
      <c r="D95" s="241"/>
      <c r="E95" s="241"/>
      <c r="F95" s="241"/>
      <c r="G95" s="241"/>
      <c r="H95" s="241"/>
      <c r="I95" s="54"/>
      <c r="J95" s="54"/>
      <c r="K95" s="54"/>
    </row>
    <row r="96" spans="1:11" ht="13.8">
      <c r="A96" s="54"/>
      <c r="B96" s="54"/>
      <c r="C96" s="240" t="s">
        <v>194</v>
      </c>
      <c r="D96" s="241"/>
      <c r="E96" s="241"/>
      <c r="F96" s="241"/>
      <c r="G96" s="241"/>
      <c r="H96" s="241"/>
      <c r="I96" s="54"/>
      <c r="J96" s="54"/>
      <c r="K96" s="54"/>
    </row>
    <row r="97" spans="1:11" ht="13.8">
      <c r="A97" s="54"/>
      <c r="B97" s="54"/>
      <c r="C97" s="240" t="s">
        <v>195</v>
      </c>
      <c r="D97" s="241"/>
      <c r="E97" s="241"/>
      <c r="F97" s="241"/>
      <c r="G97" s="241"/>
      <c r="H97" s="241"/>
      <c r="I97" s="54"/>
      <c r="J97" s="54"/>
      <c r="K97" s="54"/>
    </row>
    <row r="98" spans="1:11">
      <c r="B98" s="54"/>
      <c r="C98" s="54"/>
    </row>
    <row r="99" spans="1:11">
      <c r="B99" s="54"/>
      <c r="C99" s="77" t="s">
        <v>232</v>
      </c>
      <c r="D99" s="54"/>
      <c r="E99" s="54"/>
      <c r="F99" s="54"/>
      <c r="G99" s="54"/>
      <c r="H99" s="54"/>
    </row>
    <row r="100" spans="1:11">
      <c r="B100" s="54"/>
      <c r="C100" s="240" t="s">
        <v>233</v>
      </c>
      <c r="D100" s="241"/>
      <c r="E100" s="241"/>
      <c r="F100" s="241"/>
      <c r="G100" s="241"/>
      <c r="H100" s="241"/>
    </row>
    <row r="101" spans="1:11">
      <c r="B101" s="54"/>
      <c r="C101" s="240" t="s">
        <v>223</v>
      </c>
      <c r="D101" s="241"/>
      <c r="E101" s="241"/>
      <c r="F101" s="241"/>
      <c r="G101" s="241"/>
      <c r="H101" s="241"/>
    </row>
    <row r="102" spans="1:11">
      <c r="B102" s="54"/>
      <c r="C102" s="240" t="s">
        <v>237</v>
      </c>
      <c r="D102" s="241"/>
      <c r="E102" s="241"/>
      <c r="F102" s="241"/>
      <c r="G102" s="241"/>
      <c r="H102" s="241"/>
    </row>
    <row r="103" spans="1:11">
      <c r="B103" s="54"/>
      <c r="C103" s="240" t="s">
        <v>194</v>
      </c>
      <c r="D103" s="241"/>
      <c r="E103" s="241"/>
      <c r="F103" s="241"/>
      <c r="G103" s="241"/>
      <c r="H103" s="241"/>
    </row>
    <row r="104" spans="1:11">
      <c r="B104" s="54"/>
      <c r="C104" s="240" t="s">
        <v>238</v>
      </c>
      <c r="D104" s="241"/>
      <c r="E104" s="241"/>
      <c r="F104" s="241"/>
      <c r="G104" s="241"/>
      <c r="H104" s="241"/>
    </row>
    <row r="105" spans="1:11">
      <c r="B105" s="54"/>
      <c r="C105" s="54"/>
    </row>
    <row r="106" spans="1:11">
      <c r="B106" s="77" t="s">
        <v>250</v>
      </c>
      <c r="C106" s="54"/>
    </row>
    <row r="107" spans="1:11">
      <c r="B107" s="54"/>
      <c r="C107" s="240" t="s">
        <v>239</v>
      </c>
      <c r="D107" s="240"/>
      <c r="E107" s="240"/>
      <c r="F107" s="240"/>
      <c r="G107" s="240"/>
      <c r="H107" s="240"/>
    </row>
    <row r="108" spans="1:11">
      <c r="C108" s="240" t="s">
        <v>253</v>
      </c>
      <c r="D108" s="240"/>
      <c r="E108" s="240"/>
      <c r="F108" s="240"/>
      <c r="G108" s="240"/>
      <c r="H108" s="240"/>
    </row>
    <row r="109" spans="1:11">
      <c r="C109" s="240" t="s">
        <v>254</v>
      </c>
      <c r="D109" s="240"/>
      <c r="E109" s="240"/>
      <c r="F109" s="240"/>
      <c r="G109" s="240"/>
      <c r="H109" s="240"/>
    </row>
    <row r="111" spans="1:11">
      <c r="A111" s="264" t="s">
        <v>249</v>
      </c>
    </row>
  </sheetData>
  <sheetProtection sheet="1" objects="1" scenarios="1" formatCells="0"/>
  <mergeCells count="2">
    <mergeCell ref="C2:G2"/>
    <mergeCell ref="C3:G3"/>
  </mergeCells>
  <phoneticPr fontId="8" type="noConversion"/>
  <hyperlinks>
    <hyperlink ref="A111" r:id="rId1"/>
  </hyperlinks>
  <printOptions gridLines="1" gridLinesSet="0"/>
  <pageMargins left="0.78740157499999996" right="0.78740157499999996" top="0.984251969" bottom="0.984251969" header="0.4921259845" footer="0.4921259845"/>
  <pageSetup paperSize="9" fitToHeight="2" orientation="landscape" horizontalDpi="360" verticalDpi="360" copies="0" r:id="rId2"/>
  <headerFooter alignWithMargins="0">
    <oddHeader>&amp;C&amp;F / &amp;A</oddHeader>
    <oddFooter>Page &amp;P</oddFooter>
  </headerFooter>
  <rowBreaks count="1" manualBreakCount="1">
    <brk id="30" max="65535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2:X164"/>
  <sheetViews>
    <sheetView zoomScale="85" workbookViewId="0">
      <selection activeCell="C2" sqref="C2:F3"/>
    </sheetView>
  </sheetViews>
  <sheetFormatPr baseColWidth="10" defaultRowHeight="13.2"/>
  <cols>
    <col min="1" max="1" width="16.109375" style="54" customWidth="1"/>
    <col min="2" max="2" width="20.33203125" style="54" customWidth="1"/>
    <col min="3" max="6" width="17.44140625" style="54" customWidth="1"/>
    <col min="7" max="7" width="14.33203125" style="54" customWidth="1"/>
    <col min="8" max="8" width="12.77734375" style="54" customWidth="1"/>
    <col min="9" max="12" width="11.5546875" style="54"/>
    <col min="13" max="13" width="7.33203125" style="54" customWidth="1"/>
    <col min="14" max="14" width="5.77734375" style="54" customWidth="1"/>
    <col min="15" max="15" width="6.6640625" style="54" customWidth="1"/>
    <col min="16" max="24" width="5.77734375" style="54" customWidth="1"/>
    <col min="25" max="16384" width="11.5546875" style="54"/>
  </cols>
  <sheetData>
    <row r="2" spans="1:24" ht="16.2">
      <c r="C2" s="266" t="s">
        <v>177</v>
      </c>
      <c r="D2" s="266"/>
      <c r="E2" s="266"/>
      <c r="F2" s="266"/>
    </row>
    <row r="3" spans="1:24" ht="16.2">
      <c r="C3" s="266" t="s">
        <v>160</v>
      </c>
      <c r="D3" s="266"/>
      <c r="E3" s="266"/>
      <c r="F3" s="266"/>
    </row>
    <row r="4" spans="1:24" ht="13.8" thickBot="1"/>
    <row r="5" spans="1:24" ht="14.4" thickBot="1">
      <c r="A5" s="49" t="s">
        <v>6</v>
      </c>
      <c r="B5" s="2"/>
      <c r="C5" s="2"/>
      <c r="D5" s="22"/>
      <c r="E5" s="53"/>
    </row>
    <row r="6" spans="1:24">
      <c r="A6" s="3"/>
      <c r="B6" s="4" t="s">
        <v>7</v>
      </c>
      <c r="C6" s="4" t="s">
        <v>8</v>
      </c>
      <c r="D6" s="23" t="s">
        <v>9</v>
      </c>
      <c r="F6" s="267" t="s">
        <v>10</v>
      </c>
      <c r="G6" s="268"/>
      <c r="H6" s="78"/>
      <c r="I6" s="78"/>
      <c r="J6" s="78"/>
      <c r="K6" s="78"/>
      <c r="L6" s="78"/>
      <c r="M6" s="66"/>
    </row>
    <row r="7" spans="1:24">
      <c r="A7" s="50" t="s">
        <v>11</v>
      </c>
      <c r="B7" s="7" t="s">
        <v>140</v>
      </c>
      <c r="C7" s="8" t="s">
        <v>46</v>
      </c>
      <c r="D7" s="24" t="s">
        <v>47</v>
      </c>
      <c r="F7" s="269" t="s">
        <v>143</v>
      </c>
      <c r="G7" s="270"/>
      <c r="H7" s="78"/>
      <c r="I7" s="78"/>
      <c r="J7" s="78"/>
      <c r="K7" s="78"/>
      <c r="L7" s="78"/>
      <c r="M7" s="66"/>
    </row>
    <row r="8" spans="1:24" ht="13.8" thickBot="1">
      <c r="A8" s="50" t="s">
        <v>12</v>
      </c>
      <c r="B8" s="7" t="s">
        <v>72</v>
      </c>
      <c r="C8" s="8" t="s">
        <v>48</v>
      </c>
      <c r="D8" s="24" t="s">
        <v>49</v>
      </c>
      <c r="F8" s="271" t="s">
        <v>13</v>
      </c>
      <c r="G8" s="272"/>
      <c r="H8" s="78"/>
      <c r="I8" s="78"/>
      <c r="J8" s="78"/>
      <c r="K8" s="78"/>
      <c r="L8" s="78"/>
      <c r="M8" s="66"/>
    </row>
    <row r="9" spans="1:24">
      <c r="A9" s="50" t="s">
        <v>29</v>
      </c>
      <c r="B9" s="7" t="s">
        <v>141</v>
      </c>
      <c r="C9" s="8" t="s">
        <v>50</v>
      </c>
      <c r="D9" s="24" t="s">
        <v>51</v>
      </c>
    </row>
    <row r="10" spans="1:24" ht="13.8" thickBot="1">
      <c r="A10" s="52" t="s">
        <v>32</v>
      </c>
      <c r="B10" s="25" t="s">
        <v>52</v>
      </c>
      <c r="C10" s="25" t="s">
        <v>53</v>
      </c>
      <c r="D10" s="26" t="s">
        <v>54</v>
      </c>
      <c r="G10" s="59" t="s">
        <v>142</v>
      </c>
    </row>
    <row r="11" spans="1:24" ht="18" customHeight="1">
      <c r="G11" s="60"/>
      <c r="H11" s="60"/>
      <c r="I11" s="60"/>
      <c r="J11" s="60"/>
    </row>
    <row r="12" spans="1:24" ht="13.8">
      <c r="A12" s="10" t="s">
        <v>15</v>
      </c>
      <c r="B12" s="11" t="str">
        <f>B7</f>
        <v>Temp.</v>
      </c>
      <c r="C12" s="11" t="str">
        <f>B8</f>
        <v>Durée</v>
      </c>
      <c r="D12" s="11" t="str">
        <f>B9</f>
        <v>Vitesse</v>
      </c>
      <c r="E12" s="11" t="str">
        <f>B10</f>
        <v>DIDP</v>
      </c>
      <c r="F12" s="10" t="s">
        <v>16</v>
      </c>
      <c r="G12" s="51" t="s">
        <v>17</v>
      </c>
      <c r="H12" s="51" t="s">
        <v>18</v>
      </c>
      <c r="I12" s="51" t="s">
        <v>19</v>
      </c>
      <c r="J12" s="51" t="s">
        <v>20</v>
      </c>
      <c r="K12" s="51" t="s">
        <v>21</v>
      </c>
      <c r="L12" s="62"/>
    </row>
    <row r="13" spans="1:24" ht="13.8">
      <c r="A13" s="12">
        <v>1</v>
      </c>
      <c r="B13" s="13" t="str">
        <f>C7</f>
        <v>75°C</v>
      </c>
      <c r="C13" s="13" t="str">
        <f>C8</f>
        <v>100 min</v>
      </c>
      <c r="D13" s="13" t="str">
        <f>C9</f>
        <v>20 rpm</v>
      </c>
      <c r="E13" s="13" t="str">
        <f>C10</f>
        <v>40</v>
      </c>
      <c r="F13" s="14">
        <f t="shared" ref="F13:F28" si="0">MEDIAN(G13:K13)</f>
        <v>152.30000000000001</v>
      </c>
      <c r="G13" s="9">
        <v>152.30000000000001</v>
      </c>
      <c r="H13" s="9"/>
      <c r="I13" s="9"/>
      <c r="J13" s="9"/>
      <c r="K13" s="9"/>
      <c r="L13" s="62"/>
    </row>
    <row r="14" spans="1:24" ht="13.8">
      <c r="A14" s="12">
        <v>2</v>
      </c>
      <c r="B14" s="13" t="str">
        <f>C7</f>
        <v>75°C</v>
      </c>
      <c r="C14" s="13" t="str">
        <f>C8</f>
        <v>100 min</v>
      </c>
      <c r="D14" s="13" t="str">
        <f>C9</f>
        <v>20 rpm</v>
      </c>
      <c r="E14" s="13" t="str">
        <f>D10</f>
        <v>50</v>
      </c>
      <c r="F14" s="14">
        <f t="shared" si="0"/>
        <v>190</v>
      </c>
      <c r="G14" s="9">
        <v>190</v>
      </c>
      <c r="H14" s="9"/>
      <c r="I14" s="9"/>
      <c r="J14" s="9"/>
      <c r="K14" s="9"/>
      <c r="L14" s="62"/>
      <c r="N14" s="54" t="str">
        <f>C7</f>
        <v>75°C</v>
      </c>
      <c r="O14" s="54" t="str">
        <f>D7</f>
        <v>85°C</v>
      </c>
      <c r="P14" s="54" t="s">
        <v>55</v>
      </c>
      <c r="Q14" s="54" t="str">
        <f>C8</f>
        <v>100 min</v>
      </c>
      <c r="R14" s="54" t="str">
        <f>D8</f>
        <v>140 min</v>
      </c>
      <c r="S14" s="54" t="s">
        <v>55</v>
      </c>
      <c r="T14" s="54" t="str">
        <f>C9</f>
        <v>20 rpm</v>
      </c>
      <c r="U14" s="54" t="str">
        <f>D9</f>
        <v>40 rpm</v>
      </c>
      <c r="V14" s="54" t="s">
        <v>55</v>
      </c>
      <c r="W14" s="54" t="str">
        <f>C10</f>
        <v>40</v>
      </c>
      <c r="X14" s="54" t="str">
        <f>D10</f>
        <v>50</v>
      </c>
    </row>
    <row r="15" spans="1:24" ht="13.8">
      <c r="A15" s="12">
        <v>3</v>
      </c>
      <c r="B15" s="13" t="str">
        <f>C7</f>
        <v>75°C</v>
      </c>
      <c r="C15" s="13" t="str">
        <f>C8</f>
        <v>100 min</v>
      </c>
      <c r="D15" s="13" t="str">
        <f>D9</f>
        <v>40 rpm</v>
      </c>
      <c r="E15" s="13" t="str">
        <f>C10</f>
        <v>40</v>
      </c>
      <c r="F15" s="14">
        <f t="shared" si="0"/>
        <v>150</v>
      </c>
      <c r="G15" s="9">
        <v>150</v>
      </c>
      <c r="H15" s="9"/>
      <c r="I15" s="9"/>
      <c r="J15" s="9"/>
      <c r="K15" s="9"/>
      <c r="L15" s="62"/>
      <c r="N15" s="54" t="str">
        <f>B7</f>
        <v>Temp.</v>
      </c>
      <c r="O15" s="54" t="str">
        <f>B7</f>
        <v>Temp.</v>
      </c>
      <c r="Q15" s="54" t="str">
        <f>B8</f>
        <v>Durée</v>
      </c>
      <c r="R15" s="54" t="str">
        <f>B8</f>
        <v>Durée</v>
      </c>
      <c r="T15" s="54" t="str">
        <f>B9</f>
        <v>Vitesse</v>
      </c>
      <c r="U15" s="54" t="str">
        <f>B9</f>
        <v>Vitesse</v>
      </c>
      <c r="W15" s="54" t="str">
        <f>B10</f>
        <v>DIDP</v>
      </c>
      <c r="X15" s="54" t="str">
        <f>B10</f>
        <v>DIDP</v>
      </c>
    </row>
    <row r="16" spans="1:24" ht="13.8">
      <c r="A16" s="12">
        <v>4</v>
      </c>
      <c r="B16" s="13" t="str">
        <f>C7</f>
        <v>75°C</v>
      </c>
      <c r="C16" s="13" t="str">
        <f>C8</f>
        <v>100 min</v>
      </c>
      <c r="D16" s="13" t="str">
        <f>D9</f>
        <v>40 rpm</v>
      </c>
      <c r="E16" s="13" t="str">
        <f>D10</f>
        <v>50</v>
      </c>
      <c r="F16" s="14">
        <f t="shared" si="0"/>
        <v>180</v>
      </c>
      <c r="G16" s="9">
        <v>180</v>
      </c>
      <c r="H16" s="9"/>
      <c r="I16" s="9"/>
      <c r="J16" s="9"/>
      <c r="K16" s="9"/>
      <c r="L16" s="62"/>
      <c r="M16" s="54" t="s">
        <v>30</v>
      </c>
      <c r="N16" s="58">
        <f>B33+(C33)</f>
        <v>140.91249999999999</v>
      </c>
      <c r="O16" s="58">
        <f>B34+(C34)</f>
        <v>161.25</v>
      </c>
      <c r="Q16" s="58">
        <f>B33+(D33)</f>
        <v>177.16249999999999</v>
      </c>
      <c r="R16" s="58">
        <f>B34+D34</f>
        <v>125</v>
      </c>
      <c r="T16" s="58">
        <f>B33+E33</f>
        <v>156.22499999999999</v>
      </c>
      <c r="U16" s="58">
        <f>B34+E34</f>
        <v>145.9375</v>
      </c>
      <c r="V16" s="58"/>
      <c r="W16" s="58">
        <f>B33+F33</f>
        <v>134.03749999999999</v>
      </c>
      <c r="X16" s="58">
        <f>B34+F34</f>
        <v>168.125</v>
      </c>
    </row>
    <row r="17" spans="1:24" ht="13.8">
      <c r="A17" s="12">
        <v>5</v>
      </c>
      <c r="B17" s="13" t="str">
        <f>C7</f>
        <v>75°C</v>
      </c>
      <c r="C17" s="13" t="str">
        <f>D8</f>
        <v>140 min</v>
      </c>
      <c r="D17" s="13" t="str">
        <f>C9</f>
        <v>20 rpm</v>
      </c>
      <c r="E17" s="13" t="str">
        <f>C10</f>
        <v>40</v>
      </c>
      <c r="F17" s="14">
        <f t="shared" si="0"/>
        <v>102.5</v>
      </c>
      <c r="G17" s="9">
        <v>102.5</v>
      </c>
      <c r="H17" s="9"/>
      <c r="I17" s="9"/>
      <c r="J17" s="9"/>
      <c r="K17" s="9"/>
      <c r="L17" s="62"/>
      <c r="M17" s="54" t="s">
        <v>22</v>
      </c>
      <c r="N17" s="58">
        <f>B33</f>
        <v>151.08125000000001</v>
      </c>
      <c r="O17" s="58">
        <f>B33</f>
        <v>151.08125000000001</v>
      </c>
      <c r="P17" s="58">
        <f>B33</f>
        <v>151.08125000000001</v>
      </c>
      <c r="Q17" s="58">
        <f>B33</f>
        <v>151.08125000000001</v>
      </c>
      <c r="R17" s="58">
        <f>B33</f>
        <v>151.08125000000001</v>
      </c>
      <c r="S17" s="58">
        <f>B33</f>
        <v>151.08125000000001</v>
      </c>
      <c r="T17" s="58">
        <f>B33</f>
        <v>151.08125000000001</v>
      </c>
      <c r="U17" s="58">
        <f>B33</f>
        <v>151.08125000000001</v>
      </c>
      <c r="V17" s="58">
        <f>B33</f>
        <v>151.08125000000001</v>
      </c>
      <c r="W17" s="58">
        <f>B33</f>
        <v>151.08125000000001</v>
      </c>
      <c r="X17" s="58">
        <f>B33</f>
        <v>151.08125000000001</v>
      </c>
    </row>
    <row r="18" spans="1:24" ht="13.8">
      <c r="A18" s="12">
        <v>6</v>
      </c>
      <c r="B18" s="13" t="str">
        <f>C7</f>
        <v>75°C</v>
      </c>
      <c r="C18" s="13" t="str">
        <f>D8</f>
        <v>140 min</v>
      </c>
      <c r="D18" s="13" t="str">
        <f>C9</f>
        <v>20 rpm</v>
      </c>
      <c r="E18" s="13" t="str">
        <f>D10</f>
        <v>50</v>
      </c>
      <c r="F18" s="14">
        <f t="shared" si="0"/>
        <v>135</v>
      </c>
      <c r="G18" s="9">
        <v>135</v>
      </c>
      <c r="H18" s="9"/>
      <c r="I18" s="9"/>
      <c r="J18" s="9"/>
      <c r="K18" s="9"/>
      <c r="L18" s="62"/>
      <c r="N18" s="58"/>
      <c r="V18" s="58"/>
      <c r="W18" s="58"/>
      <c r="X18" s="58"/>
    </row>
    <row r="19" spans="1:24" ht="13.8">
      <c r="A19" s="12">
        <v>7</v>
      </c>
      <c r="B19" s="13" t="str">
        <f>C7</f>
        <v>75°C</v>
      </c>
      <c r="C19" s="13" t="str">
        <f>D8</f>
        <v>140 min</v>
      </c>
      <c r="D19" s="13" t="str">
        <f>D9</f>
        <v>40 rpm</v>
      </c>
      <c r="E19" s="13" t="str">
        <f>C10</f>
        <v>40</v>
      </c>
      <c r="F19" s="14">
        <f t="shared" si="0"/>
        <v>90</v>
      </c>
      <c r="G19" s="9">
        <v>90</v>
      </c>
      <c r="H19" s="9"/>
      <c r="I19" s="9"/>
      <c r="J19" s="9"/>
      <c r="K19" s="9"/>
      <c r="L19" s="62"/>
      <c r="O19" s="57" t="str">
        <f>B7</f>
        <v>Temp.</v>
      </c>
      <c r="P19" s="57" t="str">
        <f>B7</f>
        <v>Temp.</v>
      </c>
      <c r="Q19" s="64" t="s">
        <v>33</v>
      </c>
    </row>
    <row r="20" spans="1:24" ht="13.8">
      <c r="A20" s="12">
        <v>8</v>
      </c>
      <c r="B20" s="13" t="str">
        <f>C7</f>
        <v>75°C</v>
      </c>
      <c r="C20" s="13" t="str">
        <f>D8</f>
        <v>140 min</v>
      </c>
      <c r="D20" s="13" t="str">
        <f>D9</f>
        <v>40 rpm</v>
      </c>
      <c r="E20" s="13" t="str">
        <f>D10</f>
        <v>50</v>
      </c>
      <c r="F20" s="14">
        <f t="shared" si="0"/>
        <v>127.5</v>
      </c>
      <c r="G20" s="9">
        <v>127.5</v>
      </c>
      <c r="H20" s="9"/>
      <c r="I20" s="9"/>
      <c r="J20" s="9"/>
      <c r="K20" s="9"/>
      <c r="L20" s="62"/>
      <c r="O20" s="57" t="str">
        <f>C7</f>
        <v>75°C</v>
      </c>
      <c r="P20" s="57" t="str">
        <f>D7</f>
        <v>85°C</v>
      </c>
      <c r="Q20" s="64"/>
      <c r="R20" s="64"/>
    </row>
    <row r="21" spans="1:24" ht="13.8">
      <c r="A21" s="12">
        <v>9</v>
      </c>
      <c r="B21" s="13" t="str">
        <f>D7</f>
        <v>85°C</v>
      </c>
      <c r="C21" s="13" t="str">
        <f>C8</f>
        <v>100 min</v>
      </c>
      <c r="D21" s="13" t="str">
        <f>C9</f>
        <v>20 rpm</v>
      </c>
      <c r="E21" s="13" t="str">
        <f>C10</f>
        <v>40</v>
      </c>
      <c r="F21" s="14">
        <f t="shared" si="0"/>
        <v>177.5</v>
      </c>
      <c r="G21" s="9">
        <v>177.5</v>
      </c>
      <c r="H21" s="9"/>
      <c r="I21" s="9"/>
      <c r="J21" s="9"/>
      <c r="K21" s="9"/>
      <c r="L21" s="62"/>
      <c r="M21" s="57" t="str">
        <f>C8</f>
        <v>100 min</v>
      </c>
      <c r="N21" s="57" t="str">
        <f>B8</f>
        <v>Durée</v>
      </c>
      <c r="O21" s="54">
        <f>(F13+F14+F15+F16)/4</f>
        <v>168.07499999999999</v>
      </c>
      <c r="P21" s="54">
        <f>(F21+F22+F23+F24)/4</f>
        <v>186.25</v>
      </c>
      <c r="Q21" s="64"/>
      <c r="T21" s="79"/>
    </row>
    <row r="22" spans="1:24" ht="13.8">
      <c r="A22" s="12">
        <v>10</v>
      </c>
      <c r="B22" s="13" t="str">
        <f>D7</f>
        <v>85°C</v>
      </c>
      <c r="C22" s="13" t="str">
        <f>C8</f>
        <v>100 min</v>
      </c>
      <c r="D22" s="13" t="str">
        <f>C9</f>
        <v>20 rpm</v>
      </c>
      <c r="E22" s="13" t="str">
        <f>D10</f>
        <v>50</v>
      </c>
      <c r="F22" s="14">
        <f t="shared" si="0"/>
        <v>210</v>
      </c>
      <c r="G22" s="9">
        <v>210</v>
      </c>
      <c r="H22" s="9"/>
      <c r="I22" s="9"/>
      <c r="J22" s="9"/>
      <c r="K22" s="9"/>
      <c r="L22" s="62"/>
      <c r="M22" s="57" t="str">
        <f>D8</f>
        <v>140 min</v>
      </c>
      <c r="N22" s="57" t="str">
        <f>B8</f>
        <v>Durée</v>
      </c>
      <c r="O22" s="54">
        <f>(F17+F18+F19+F20)/4</f>
        <v>113.75</v>
      </c>
      <c r="P22" s="54">
        <f>(F25+F26+F27+F28)/4</f>
        <v>136.25</v>
      </c>
      <c r="T22" s="79"/>
    </row>
    <row r="23" spans="1:24" ht="13.8">
      <c r="A23" s="12">
        <v>11</v>
      </c>
      <c r="B23" s="13" t="str">
        <f>D7</f>
        <v>85°C</v>
      </c>
      <c r="C23" s="13" t="str">
        <f>C8</f>
        <v>100 min</v>
      </c>
      <c r="D23" s="13" t="str">
        <f>D9</f>
        <v>40 rpm</v>
      </c>
      <c r="E23" s="13" t="str">
        <f>C10</f>
        <v>40</v>
      </c>
      <c r="F23" s="14">
        <f t="shared" si="0"/>
        <v>162.5</v>
      </c>
      <c r="G23" s="9">
        <v>162.5</v>
      </c>
      <c r="H23" s="9"/>
      <c r="I23" s="9"/>
      <c r="J23" s="9"/>
      <c r="K23" s="9"/>
      <c r="L23" s="62"/>
      <c r="M23" s="54" t="s">
        <v>55</v>
      </c>
    </row>
    <row r="24" spans="1:24" ht="13.8">
      <c r="A24" s="12">
        <v>12</v>
      </c>
      <c r="B24" s="13" t="str">
        <f>D7</f>
        <v>85°C</v>
      </c>
      <c r="C24" s="13" t="str">
        <f>C8</f>
        <v>100 min</v>
      </c>
      <c r="D24" s="13" t="str">
        <f>D9</f>
        <v>40 rpm</v>
      </c>
      <c r="E24" s="13" t="str">
        <f>D10</f>
        <v>50</v>
      </c>
      <c r="F24" s="14">
        <f t="shared" si="0"/>
        <v>195</v>
      </c>
      <c r="G24" s="9">
        <v>195</v>
      </c>
      <c r="H24" s="9"/>
      <c r="I24" s="9"/>
      <c r="J24" s="9"/>
      <c r="K24" s="9"/>
      <c r="L24" s="62"/>
      <c r="M24" s="57" t="str">
        <f>C9</f>
        <v>20 rpm</v>
      </c>
      <c r="N24" s="57" t="str">
        <f>B9</f>
        <v>Vitesse</v>
      </c>
      <c r="O24" s="54">
        <f>(F13+F14+F17+F18)/4</f>
        <v>144.94999999999999</v>
      </c>
      <c r="P24" s="54">
        <f>(F21+F22+F25+F26)/4</f>
        <v>167.5</v>
      </c>
      <c r="Q24" s="64"/>
      <c r="R24" s="64"/>
    </row>
    <row r="25" spans="1:24" ht="13.8">
      <c r="A25" s="12">
        <v>13</v>
      </c>
      <c r="B25" s="13" t="str">
        <f>D7</f>
        <v>85°C</v>
      </c>
      <c r="C25" s="13" t="str">
        <f>D8</f>
        <v>140 min</v>
      </c>
      <c r="D25" s="13" t="str">
        <f>C9</f>
        <v>20 rpm</v>
      </c>
      <c r="E25" s="13" t="str">
        <f>C10</f>
        <v>40</v>
      </c>
      <c r="F25" s="14">
        <f t="shared" si="0"/>
        <v>122.5</v>
      </c>
      <c r="G25" s="9">
        <v>122.5</v>
      </c>
      <c r="H25" s="9"/>
      <c r="I25" s="9"/>
      <c r="J25" s="9"/>
      <c r="K25" s="9"/>
      <c r="L25" s="62"/>
      <c r="M25" s="57" t="str">
        <f>D9</f>
        <v>40 rpm</v>
      </c>
      <c r="N25" s="57" t="str">
        <f>B9</f>
        <v>Vitesse</v>
      </c>
      <c r="O25" s="54">
        <f>(F15+F16+F19+F20)/4</f>
        <v>136.875</v>
      </c>
      <c r="P25" s="54">
        <f>(F23+F24+F27+F28)/4</f>
        <v>155</v>
      </c>
      <c r="Q25" s="64"/>
    </row>
    <row r="26" spans="1:24" ht="13.8">
      <c r="A26" s="12">
        <v>14</v>
      </c>
      <c r="B26" s="13" t="str">
        <f>D7</f>
        <v>85°C</v>
      </c>
      <c r="C26" s="13" t="str">
        <f>D8</f>
        <v>140 min</v>
      </c>
      <c r="D26" s="13" t="str">
        <f>C9</f>
        <v>20 rpm</v>
      </c>
      <c r="E26" s="13" t="str">
        <f>D10</f>
        <v>50</v>
      </c>
      <c r="F26" s="14">
        <f t="shared" si="0"/>
        <v>160</v>
      </c>
      <c r="G26" s="9">
        <v>160</v>
      </c>
      <c r="H26" s="9"/>
      <c r="I26" s="9"/>
      <c r="J26" s="9"/>
      <c r="K26" s="9"/>
      <c r="L26" s="62"/>
      <c r="M26" s="79" t="s">
        <v>55</v>
      </c>
    </row>
    <row r="27" spans="1:24" ht="13.8">
      <c r="A27" s="12">
        <v>15</v>
      </c>
      <c r="B27" s="13" t="str">
        <f>D7</f>
        <v>85°C</v>
      </c>
      <c r="C27" s="13" t="str">
        <f>D8</f>
        <v>140 min</v>
      </c>
      <c r="D27" s="13" t="str">
        <f>D9</f>
        <v>40 rpm</v>
      </c>
      <c r="E27" s="13" t="str">
        <f>C10</f>
        <v>40</v>
      </c>
      <c r="F27" s="14">
        <f t="shared" si="0"/>
        <v>115</v>
      </c>
      <c r="G27" s="9">
        <v>115</v>
      </c>
      <c r="H27" s="9"/>
      <c r="I27" s="9"/>
      <c r="J27" s="9"/>
      <c r="K27" s="9"/>
      <c r="L27" s="62"/>
      <c r="M27" s="57" t="str">
        <f>C10</f>
        <v>40</v>
      </c>
      <c r="N27" s="57" t="str">
        <f>B10</f>
        <v>DIDP</v>
      </c>
      <c r="O27" s="54">
        <f>(F13+F15+F17+F19)/4</f>
        <v>123.7</v>
      </c>
      <c r="P27" s="54">
        <f>(F21+F23+F25+F27)/4</f>
        <v>144.375</v>
      </c>
    </row>
    <row r="28" spans="1:24" ht="13.8">
      <c r="A28" s="12">
        <v>16</v>
      </c>
      <c r="B28" s="13" t="str">
        <f>D7</f>
        <v>85°C</v>
      </c>
      <c r="C28" s="13" t="str">
        <f>D8</f>
        <v>140 min</v>
      </c>
      <c r="D28" s="13" t="str">
        <f>D9</f>
        <v>40 rpm</v>
      </c>
      <c r="E28" s="13" t="str">
        <f>D10</f>
        <v>50</v>
      </c>
      <c r="F28" s="14">
        <f t="shared" si="0"/>
        <v>147.5</v>
      </c>
      <c r="G28" s="9">
        <v>147.5</v>
      </c>
      <c r="H28" s="9"/>
      <c r="I28" s="9"/>
      <c r="J28" s="9"/>
      <c r="K28" s="9"/>
      <c r="L28" s="62"/>
      <c r="M28" s="57" t="str">
        <f>D10</f>
        <v>50</v>
      </c>
      <c r="N28" s="57" t="str">
        <f>B10</f>
        <v>DIDP</v>
      </c>
      <c r="O28" s="54">
        <f>(F14+F16+F18+F20)/4</f>
        <v>158.125</v>
      </c>
      <c r="P28" s="54">
        <f>(F22+F24+F26+F28)/4</f>
        <v>178.125</v>
      </c>
    </row>
    <row r="29" spans="1:24" ht="13.8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R29" s="64"/>
    </row>
    <row r="30" spans="1:24" ht="13.8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Q30" s="64"/>
    </row>
    <row r="31" spans="1:24" ht="13.8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O31" s="65" t="str">
        <f>B8</f>
        <v>Durée</v>
      </c>
      <c r="P31" s="65" t="str">
        <f>B8</f>
        <v>Durée</v>
      </c>
      <c r="Q31" s="64" t="s">
        <v>34</v>
      </c>
    </row>
    <row r="32" spans="1:24" ht="14.4">
      <c r="A32" s="17" t="s">
        <v>23</v>
      </c>
      <c r="B32" s="18" t="s">
        <v>24</v>
      </c>
      <c r="C32" s="20" t="str">
        <f>B7</f>
        <v>Temp.</v>
      </c>
      <c r="D32" s="20" t="str">
        <f>B8</f>
        <v>Durée</v>
      </c>
      <c r="E32" s="20" t="str">
        <f>B9</f>
        <v>Vitesse</v>
      </c>
      <c r="F32" s="20" t="str">
        <f>B10</f>
        <v>DIDP</v>
      </c>
      <c r="G32" s="80"/>
      <c r="H32" s="251" t="s">
        <v>218</v>
      </c>
      <c r="I32" s="252"/>
      <c r="J32" s="253"/>
      <c r="K32" s="81"/>
      <c r="L32" s="81"/>
      <c r="O32" s="65" t="str">
        <f>C8</f>
        <v>100 min</v>
      </c>
      <c r="P32" s="65" t="str">
        <f>D8</f>
        <v>140 min</v>
      </c>
    </row>
    <row r="33" spans="1:21" ht="13.8">
      <c r="A33" s="17" t="s">
        <v>27</v>
      </c>
      <c r="B33" s="21">
        <f>(SUM(F13:F28))/16</f>
        <v>151.08125000000001</v>
      </c>
      <c r="C33" s="21">
        <f>((F13+F14+F15+F16+F17+F18+F19+F20)/8)-B33</f>
        <v>-10.168750000000017</v>
      </c>
      <c r="D33" s="21">
        <f>((F13+F14+F15+F16+F21+F22+F23+F24)/8)-B33</f>
        <v>26.081249999999983</v>
      </c>
      <c r="E33" s="21">
        <f>((F13+F14+F17+F18+F21+F22+F25+F26)/8)-B33</f>
        <v>5.1437499999999829</v>
      </c>
      <c r="F33" s="21">
        <f>((F13+F15+F17+F19+F21+F23+F25+F27)/8)-B33</f>
        <v>-17.043750000000017</v>
      </c>
      <c r="G33" s="67"/>
      <c r="H33" s="254" t="s">
        <v>219</v>
      </c>
      <c r="I33" s="255"/>
      <c r="J33" s="256"/>
      <c r="K33" s="67"/>
      <c r="L33" s="67"/>
      <c r="M33" s="57" t="str">
        <f>C9</f>
        <v>20 rpm</v>
      </c>
      <c r="N33" s="57" t="str">
        <f>B9</f>
        <v>Vitesse</v>
      </c>
    </row>
    <row r="34" spans="1:21" ht="13.8">
      <c r="A34" s="17" t="s">
        <v>28</v>
      </c>
      <c r="B34" s="21">
        <f>(SUM(F13:F28))/16</f>
        <v>151.08125000000001</v>
      </c>
      <c r="C34" s="21">
        <f>((F21+F22+F23+F24+F25+F26+F27+F28)/8)-B34</f>
        <v>10.168749999999989</v>
      </c>
      <c r="D34" s="21">
        <f>((F17+F18+F19+F20+F25+F26+F27+F28)/8)-B34</f>
        <v>-26.081250000000011</v>
      </c>
      <c r="E34" s="21">
        <f>((F15+F16+F19+F20+F23+F24+F27+F28)/8)-B34</f>
        <v>-5.1437500000000114</v>
      </c>
      <c r="F34" s="21">
        <f>((F14+F16+F18+F20+F22+F24+F26+F28)/8)-B34</f>
        <v>17.043749999999989</v>
      </c>
      <c r="G34" s="68"/>
      <c r="H34" s="68"/>
      <c r="I34" s="68"/>
      <c r="J34" s="68"/>
      <c r="K34" s="68"/>
      <c r="L34" s="68"/>
      <c r="M34" s="57" t="str">
        <f>D9</f>
        <v>40 rpm</v>
      </c>
      <c r="N34" s="57" t="str">
        <f>B9</f>
        <v>Vitesse</v>
      </c>
      <c r="R34" s="64"/>
    </row>
    <row r="35" spans="1:21" ht="13.8">
      <c r="A35" s="67"/>
      <c r="B35" s="67"/>
      <c r="C35" s="67"/>
      <c r="D35" s="67"/>
      <c r="E35" s="67"/>
      <c r="F35" s="67"/>
      <c r="G35" s="68"/>
      <c r="H35" s="68"/>
      <c r="I35" s="68"/>
      <c r="J35" s="68"/>
      <c r="K35" s="68"/>
      <c r="L35" s="68"/>
      <c r="M35" s="57"/>
      <c r="N35" s="57"/>
      <c r="O35" s="57"/>
      <c r="P35" s="57"/>
      <c r="Q35" s="64"/>
    </row>
    <row r="36" spans="1:21"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57"/>
      <c r="N36" s="57"/>
      <c r="O36" s="57"/>
      <c r="P36" s="57"/>
    </row>
    <row r="37" spans="1:21" ht="13.8">
      <c r="A37" s="69" t="s">
        <v>154</v>
      </c>
      <c r="B37" s="82"/>
      <c r="C37" s="83"/>
      <c r="D37" s="84"/>
      <c r="E37" s="85"/>
      <c r="F37" s="66"/>
      <c r="G37" s="66"/>
      <c r="H37" s="66"/>
      <c r="I37" s="66"/>
      <c r="J37" s="66"/>
      <c r="K37" s="66"/>
      <c r="L37" s="66"/>
      <c r="M37" s="57"/>
      <c r="N37" s="57"/>
      <c r="O37" s="57" t="str">
        <f>B8</f>
        <v>Durée</v>
      </c>
      <c r="P37" s="57" t="str">
        <f>B8</f>
        <v>Durée</v>
      </c>
      <c r="T37" s="57" t="str">
        <f>B8</f>
        <v>Durée</v>
      </c>
      <c r="U37" s="57" t="str">
        <f>B8</f>
        <v>Durée</v>
      </c>
    </row>
    <row r="38" spans="1:21" ht="13.8">
      <c r="A38" s="69"/>
      <c r="B38" s="82"/>
      <c r="C38" s="83"/>
      <c r="D38" s="84"/>
      <c r="E38" s="85"/>
      <c r="F38" s="66"/>
      <c r="G38" s="66"/>
      <c r="H38" s="66"/>
      <c r="I38" s="66"/>
      <c r="J38" s="66"/>
      <c r="K38" s="66"/>
      <c r="L38" s="66"/>
      <c r="M38" s="57"/>
      <c r="N38" s="57"/>
      <c r="O38" s="57" t="str">
        <f>C8</f>
        <v>100 min</v>
      </c>
      <c r="P38" s="57" t="str">
        <f>C8</f>
        <v>100 min</v>
      </c>
      <c r="T38" s="57" t="str">
        <f>C8</f>
        <v>100 min</v>
      </c>
      <c r="U38" s="57" t="str">
        <f>D8</f>
        <v>140 min</v>
      </c>
    </row>
    <row r="39" spans="1:21" ht="13.8">
      <c r="A39" s="69"/>
      <c r="B39" s="161" t="s">
        <v>224</v>
      </c>
      <c r="C39" s="161" t="s">
        <v>181</v>
      </c>
      <c r="D39" s="161" t="s">
        <v>182</v>
      </c>
      <c r="E39" s="161" t="s">
        <v>190</v>
      </c>
      <c r="F39" s="161" t="s">
        <v>197</v>
      </c>
      <c r="G39" s="161" t="s">
        <v>180</v>
      </c>
      <c r="H39" s="161" t="s">
        <v>189</v>
      </c>
      <c r="I39" s="66"/>
      <c r="J39" s="66"/>
      <c r="K39" s="66"/>
      <c r="L39" s="66"/>
      <c r="M39" s="57"/>
      <c r="N39" s="57"/>
      <c r="R39" s="57" t="str">
        <f>C9</f>
        <v>20 rpm</v>
      </c>
      <c r="S39" s="57" t="str">
        <f>B9</f>
        <v>Vitesse</v>
      </c>
      <c r="T39" s="54">
        <f>(F13+F14+F21+F22)/4</f>
        <v>182.45</v>
      </c>
      <c r="U39" s="54">
        <f>(F17+F18+F25+F26)/4</f>
        <v>130</v>
      </c>
    </row>
    <row r="40" spans="1:21" ht="13.8">
      <c r="A40" s="69"/>
      <c r="B40" s="163" t="s">
        <v>17</v>
      </c>
      <c r="C40" s="163" t="s">
        <v>149</v>
      </c>
      <c r="D40" s="164" t="s">
        <v>150</v>
      </c>
      <c r="E40" s="163" t="s">
        <v>155</v>
      </c>
      <c r="F40" s="165" t="s">
        <v>158</v>
      </c>
      <c r="G40" s="163">
        <f t="shared" ref="G40:G55" si="1">IF(G13="","",G13)</f>
        <v>152.30000000000001</v>
      </c>
      <c r="H40" s="244" t="str">
        <f>IF(G40="","",CONCATENATE(C40,"_",D40,"_",E40,"_",F40))</f>
        <v>A1_B1_C1_D1</v>
      </c>
      <c r="I40" s="66"/>
      <c r="J40" s="66"/>
      <c r="K40" s="66"/>
      <c r="L40" s="66"/>
      <c r="M40" s="57"/>
      <c r="N40" s="57"/>
      <c r="R40" s="86" t="str">
        <f>D9</f>
        <v>40 rpm</v>
      </c>
      <c r="S40" s="57" t="str">
        <f>B9</f>
        <v>Vitesse</v>
      </c>
      <c r="T40" s="54">
        <f>(F15+F16+F23+F24)/4</f>
        <v>171.875</v>
      </c>
      <c r="U40" s="54">
        <f>(F19+F20+F27+F28)/4</f>
        <v>120</v>
      </c>
    </row>
    <row r="41" spans="1:21">
      <c r="A41" s="66"/>
      <c r="B41" s="166" t="s">
        <v>17</v>
      </c>
      <c r="C41" s="166" t="s">
        <v>149</v>
      </c>
      <c r="D41" s="164" t="s">
        <v>150</v>
      </c>
      <c r="E41" s="166" t="s">
        <v>155</v>
      </c>
      <c r="F41" s="167" t="s">
        <v>159</v>
      </c>
      <c r="G41" s="166">
        <f t="shared" si="1"/>
        <v>190</v>
      </c>
      <c r="H41" s="245" t="str">
        <f t="shared" ref="H41:H104" si="2">IF(G41="","",CONCATENATE(C41,"_",D41,"_",E41,"_",F41))</f>
        <v>A1_B1_C1_D2</v>
      </c>
      <c r="I41" s="66"/>
      <c r="J41" s="66"/>
      <c r="K41" s="66"/>
      <c r="L41" s="66"/>
      <c r="O41" s="57"/>
      <c r="P41" s="57"/>
      <c r="Q41" s="64"/>
      <c r="R41" s="54" t="s">
        <v>55</v>
      </c>
    </row>
    <row r="42" spans="1:21" ht="13.8">
      <c r="A42" s="69"/>
      <c r="B42" s="166" t="s">
        <v>17</v>
      </c>
      <c r="C42" s="166" t="s">
        <v>149</v>
      </c>
      <c r="D42" s="164" t="s">
        <v>150</v>
      </c>
      <c r="E42" s="166" t="s">
        <v>156</v>
      </c>
      <c r="F42" s="167" t="s">
        <v>158</v>
      </c>
      <c r="G42" s="166">
        <f t="shared" si="1"/>
        <v>150</v>
      </c>
      <c r="H42" s="245" t="str">
        <f t="shared" si="2"/>
        <v>A1_B1_C2_D1</v>
      </c>
      <c r="I42" s="66"/>
      <c r="J42" s="66"/>
      <c r="K42" s="66"/>
      <c r="L42" s="66"/>
      <c r="M42" s="57"/>
      <c r="N42" s="57"/>
      <c r="O42" s="57"/>
      <c r="P42" s="57"/>
      <c r="R42" s="57" t="str">
        <f>C10</f>
        <v>40</v>
      </c>
      <c r="S42" s="57" t="str">
        <f>B10</f>
        <v>DIDP</v>
      </c>
      <c r="T42" s="54">
        <f>(F13+F15+F21+F23)/4</f>
        <v>160.57499999999999</v>
      </c>
      <c r="U42" s="54">
        <f>(F17+F19+F25+F27)/4</f>
        <v>107.5</v>
      </c>
    </row>
    <row r="43" spans="1:21" ht="13.8">
      <c r="A43" s="69"/>
      <c r="B43" s="166" t="s">
        <v>17</v>
      </c>
      <c r="C43" s="166" t="s">
        <v>149</v>
      </c>
      <c r="D43" s="164" t="s">
        <v>150</v>
      </c>
      <c r="E43" s="166" t="s">
        <v>156</v>
      </c>
      <c r="F43" s="167" t="s">
        <v>159</v>
      </c>
      <c r="G43" s="166">
        <f t="shared" si="1"/>
        <v>180</v>
      </c>
      <c r="H43" s="245" t="str">
        <f t="shared" si="2"/>
        <v>A1_B1_C2_D2</v>
      </c>
      <c r="I43" s="66"/>
      <c r="J43" s="66"/>
      <c r="K43" s="66"/>
      <c r="L43" s="66"/>
      <c r="M43" s="57"/>
      <c r="N43" s="57"/>
      <c r="R43" s="57" t="str">
        <f>D10</f>
        <v>50</v>
      </c>
      <c r="S43" s="57" t="str">
        <f>B10</f>
        <v>DIDP</v>
      </c>
      <c r="T43" s="54">
        <f>(F14+F16+F22+F24)/4</f>
        <v>193.75</v>
      </c>
      <c r="U43" s="54">
        <f>(F18+F20+F26+F28)/4</f>
        <v>142.5</v>
      </c>
    </row>
    <row r="44" spans="1:21" ht="13.8">
      <c r="A44" s="69"/>
      <c r="B44" s="166" t="s">
        <v>17</v>
      </c>
      <c r="C44" s="166" t="s">
        <v>149</v>
      </c>
      <c r="D44" s="164" t="s">
        <v>151</v>
      </c>
      <c r="E44" s="166" t="s">
        <v>155</v>
      </c>
      <c r="F44" s="166" t="s">
        <v>158</v>
      </c>
      <c r="G44" s="166">
        <f t="shared" si="1"/>
        <v>102.5</v>
      </c>
      <c r="H44" s="245" t="str">
        <f t="shared" si="2"/>
        <v>A1_B2_C1_D1</v>
      </c>
      <c r="I44" s="66"/>
      <c r="J44" s="66"/>
      <c r="K44" s="66"/>
      <c r="L44" s="66"/>
      <c r="M44" s="57"/>
      <c r="N44" s="57"/>
    </row>
    <row r="45" spans="1:21" ht="13.8">
      <c r="A45" s="69"/>
      <c r="B45" s="166" t="s">
        <v>17</v>
      </c>
      <c r="C45" s="166" t="s">
        <v>149</v>
      </c>
      <c r="D45" s="164" t="s">
        <v>151</v>
      </c>
      <c r="E45" s="166" t="s">
        <v>155</v>
      </c>
      <c r="F45" s="166" t="s">
        <v>159</v>
      </c>
      <c r="G45" s="166">
        <f t="shared" si="1"/>
        <v>135</v>
      </c>
      <c r="H45" s="245" t="str">
        <f t="shared" si="2"/>
        <v>A1_B2_C1_D2</v>
      </c>
      <c r="I45" s="66"/>
      <c r="J45" s="66"/>
      <c r="K45" s="66"/>
      <c r="L45" s="66"/>
      <c r="M45" s="57"/>
    </row>
    <row r="46" spans="1:21" ht="13.8">
      <c r="A46" s="69"/>
      <c r="B46" s="166" t="s">
        <v>17</v>
      </c>
      <c r="C46" s="166" t="s">
        <v>149</v>
      </c>
      <c r="D46" s="164" t="s">
        <v>151</v>
      </c>
      <c r="E46" s="166" t="s">
        <v>156</v>
      </c>
      <c r="F46" s="166" t="s">
        <v>158</v>
      </c>
      <c r="G46" s="166">
        <f t="shared" si="1"/>
        <v>90</v>
      </c>
      <c r="H46" s="245" t="str">
        <f t="shared" si="2"/>
        <v>A1_B2_C2_D1</v>
      </c>
      <c r="I46" s="66"/>
      <c r="J46" s="66"/>
      <c r="K46" s="66"/>
      <c r="L46" s="66"/>
      <c r="M46" s="57"/>
      <c r="R46" s="64"/>
    </row>
    <row r="47" spans="1:21" ht="13.8">
      <c r="A47" s="69"/>
      <c r="B47" s="166" t="s">
        <v>17</v>
      </c>
      <c r="C47" s="166" t="s">
        <v>149</v>
      </c>
      <c r="D47" s="164" t="s">
        <v>151</v>
      </c>
      <c r="E47" s="166" t="s">
        <v>156</v>
      </c>
      <c r="F47" s="166" t="s">
        <v>159</v>
      </c>
      <c r="G47" s="166">
        <f t="shared" si="1"/>
        <v>127.5</v>
      </c>
      <c r="H47" s="245" t="str">
        <f t="shared" si="2"/>
        <v>A1_B2_C2_D2</v>
      </c>
      <c r="I47" s="66"/>
      <c r="J47" s="66"/>
      <c r="K47" s="66"/>
      <c r="L47" s="66"/>
      <c r="M47" s="57"/>
      <c r="N47" s="57"/>
      <c r="O47" s="57"/>
      <c r="P47" s="57"/>
      <c r="Q47" s="64"/>
    </row>
    <row r="48" spans="1:21" ht="13.8">
      <c r="A48" s="69"/>
      <c r="B48" s="166" t="s">
        <v>17</v>
      </c>
      <c r="C48" s="166" t="s">
        <v>152</v>
      </c>
      <c r="D48" s="164" t="s">
        <v>150</v>
      </c>
      <c r="E48" s="166" t="s">
        <v>155</v>
      </c>
      <c r="F48" s="166" t="s">
        <v>158</v>
      </c>
      <c r="G48" s="166">
        <f t="shared" si="1"/>
        <v>177.5</v>
      </c>
      <c r="H48" s="245" t="str">
        <f t="shared" si="2"/>
        <v>A2_B1_C1_D1</v>
      </c>
      <c r="I48" s="66"/>
      <c r="J48" s="66"/>
      <c r="K48" s="66"/>
      <c r="L48" s="66"/>
      <c r="M48" s="57"/>
      <c r="N48" s="57"/>
      <c r="O48" s="57"/>
      <c r="P48" s="57"/>
    </row>
    <row r="49" spans="1:18" ht="13.8">
      <c r="A49" s="69"/>
      <c r="B49" s="166" t="s">
        <v>17</v>
      </c>
      <c r="C49" s="166" t="s">
        <v>152</v>
      </c>
      <c r="D49" s="164" t="s">
        <v>150</v>
      </c>
      <c r="E49" s="166" t="s">
        <v>155</v>
      </c>
      <c r="F49" s="166" t="s">
        <v>159</v>
      </c>
      <c r="G49" s="166">
        <f t="shared" si="1"/>
        <v>210</v>
      </c>
      <c r="H49" s="245" t="str">
        <f t="shared" si="2"/>
        <v>A2_B1_C1_D2</v>
      </c>
      <c r="I49" s="66"/>
      <c r="J49" s="66"/>
      <c r="K49" s="66"/>
      <c r="L49" s="66"/>
      <c r="M49" s="57"/>
      <c r="N49" s="57"/>
    </row>
    <row r="50" spans="1:18" ht="13.8">
      <c r="A50" s="69"/>
      <c r="B50" s="166" t="s">
        <v>17</v>
      </c>
      <c r="C50" s="166" t="s">
        <v>152</v>
      </c>
      <c r="D50" s="164" t="s">
        <v>150</v>
      </c>
      <c r="E50" s="166" t="s">
        <v>156</v>
      </c>
      <c r="F50" s="166" t="s">
        <v>158</v>
      </c>
      <c r="G50" s="166">
        <f t="shared" si="1"/>
        <v>162.5</v>
      </c>
      <c r="H50" s="245" t="str">
        <f t="shared" si="2"/>
        <v>A2_B1_C2_D1</v>
      </c>
      <c r="I50" s="66"/>
      <c r="J50" s="66"/>
      <c r="K50" s="66"/>
      <c r="L50" s="66"/>
      <c r="M50" s="57"/>
      <c r="N50" s="57"/>
      <c r="Q50" s="57" t="str">
        <f>B9</f>
        <v>Vitesse</v>
      </c>
      <c r="R50" s="57" t="str">
        <f>B9</f>
        <v>Vitesse</v>
      </c>
    </row>
    <row r="51" spans="1:18" ht="13.8">
      <c r="A51" s="69"/>
      <c r="B51" s="166" t="s">
        <v>17</v>
      </c>
      <c r="C51" s="166" t="s">
        <v>152</v>
      </c>
      <c r="D51" s="164" t="s">
        <v>150</v>
      </c>
      <c r="E51" s="166" t="s">
        <v>156</v>
      </c>
      <c r="F51" s="166" t="s">
        <v>159</v>
      </c>
      <c r="G51" s="166">
        <f t="shared" si="1"/>
        <v>195</v>
      </c>
      <c r="H51" s="245" t="str">
        <f t="shared" si="2"/>
        <v>A2_B1_C2_D2</v>
      </c>
      <c r="I51" s="66"/>
      <c r="J51" s="66"/>
      <c r="K51" s="66"/>
      <c r="L51" s="66"/>
      <c r="Q51" s="57" t="str">
        <f>C9</f>
        <v>20 rpm</v>
      </c>
      <c r="R51" s="57" t="str">
        <f>D9</f>
        <v>40 rpm</v>
      </c>
    </row>
    <row r="52" spans="1:18" ht="13.8">
      <c r="A52" s="69"/>
      <c r="B52" s="166" t="s">
        <v>17</v>
      </c>
      <c r="C52" s="166" t="s">
        <v>152</v>
      </c>
      <c r="D52" s="164" t="s">
        <v>151</v>
      </c>
      <c r="E52" s="166" t="s">
        <v>155</v>
      </c>
      <c r="F52" s="166" t="s">
        <v>158</v>
      </c>
      <c r="G52" s="166">
        <f t="shared" si="1"/>
        <v>122.5</v>
      </c>
      <c r="H52" s="245" t="str">
        <f t="shared" si="2"/>
        <v>A2_B2_C1_D1</v>
      </c>
      <c r="I52" s="66"/>
      <c r="J52" s="66"/>
      <c r="K52" s="66"/>
      <c r="L52" s="66"/>
      <c r="O52" s="57" t="str">
        <f>C10</f>
        <v>40</v>
      </c>
      <c r="P52" s="57" t="str">
        <f>B10</f>
        <v>DIDP</v>
      </c>
      <c r="Q52" s="54">
        <f>(F13+F17+F21+F25)/4</f>
        <v>138.69999999999999</v>
      </c>
      <c r="R52" s="54">
        <f>(F15+F19+F23+F27)/4</f>
        <v>129.375</v>
      </c>
    </row>
    <row r="53" spans="1:18" ht="13.8">
      <c r="A53" s="69"/>
      <c r="B53" s="166" t="s">
        <v>17</v>
      </c>
      <c r="C53" s="166" t="s">
        <v>152</v>
      </c>
      <c r="D53" s="164" t="s">
        <v>151</v>
      </c>
      <c r="E53" s="166" t="s">
        <v>155</v>
      </c>
      <c r="F53" s="166" t="s">
        <v>159</v>
      </c>
      <c r="G53" s="166">
        <f t="shared" si="1"/>
        <v>160</v>
      </c>
      <c r="H53" s="245" t="str">
        <f t="shared" si="2"/>
        <v>A2_B2_C1_D2</v>
      </c>
      <c r="I53" s="66"/>
      <c r="J53" s="66"/>
      <c r="K53" s="66"/>
      <c r="L53" s="66"/>
      <c r="O53" s="57" t="str">
        <f>D10</f>
        <v>50</v>
      </c>
      <c r="P53" s="57" t="str">
        <f>B10</f>
        <v>DIDP</v>
      </c>
      <c r="Q53" s="54">
        <f>(F14+F18+F22+F26)/4</f>
        <v>173.75</v>
      </c>
      <c r="R53" s="54">
        <f>(F16+F20+F24+F28)/4</f>
        <v>162.5</v>
      </c>
    </row>
    <row r="54" spans="1:18" ht="13.8">
      <c r="A54" s="69"/>
      <c r="B54" s="166" t="s">
        <v>17</v>
      </c>
      <c r="C54" s="166" t="s">
        <v>152</v>
      </c>
      <c r="D54" s="164" t="s">
        <v>151</v>
      </c>
      <c r="E54" s="166" t="s">
        <v>156</v>
      </c>
      <c r="F54" s="166" t="s">
        <v>158</v>
      </c>
      <c r="G54" s="166">
        <f t="shared" si="1"/>
        <v>115</v>
      </c>
      <c r="H54" s="245" t="str">
        <f t="shared" si="2"/>
        <v>A2_B2_C2_D1</v>
      </c>
      <c r="I54" s="66"/>
      <c r="J54" s="66"/>
      <c r="K54" s="66"/>
      <c r="L54" s="66"/>
    </row>
    <row r="55" spans="1:18" ht="13.8">
      <c r="A55" s="69"/>
      <c r="B55" s="168" t="s">
        <v>17</v>
      </c>
      <c r="C55" s="168" t="s">
        <v>152</v>
      </c>
      <c r="D55" s="169" t="s">
        <v>151</v>
      </c>
      <c r="E55" s="168" t="s">
        <v>156</v>
      </c>
      <c r="F55" s="168" t="s">
        <v>159</v>
      </c>
      <c r="G55" s="168">
        <f t="shared" si="1"/>
        <v>147.5</v>
      </c>
      <c r="H55" s="246" t="str">
        <f t="shared" si="2"/>
        <v>A2_B2_C2_D2</v>
      </c>
      <c r="I55" s="66"/>
      <c r="J55" s="66"/>
      <c r="K55" s="66"/>
      <c r="L55" s="66"/>
    </row>
    <row r="56" spans="1:18" ht="13.8">
      <c r="A56" s="69"/>
      <c r="B56" s="163" t="s">
        <v>18</v>
      </c>
      <c r="C56" s="166" t="s">
        <v>149</v>
      </c>
      <c r="D56" s="164" t="s">
        <v>150</v>
      </c>
      <c r="E56" s="166" t="s">
        <v>155</v>
      </c>
      <c r="F56" s="167" t="s">
        <v>158</v>
      </c>
      <c r="G56" s="166" t="str">
        <f t="shared" ref="G56:G71" si="3">IF(H13="","",H13)</f>
        <v/>
      </c>
      <c r="H56" s="244" t="str">
        <f t="shared" si="2"/>
        <v/>
      </c>
      <c r="I56" s="66"/>
      <c r="J56" s="66"/>
      <c r="K56" s="66"/>
      <c r="L56" s="66"/>
    </row>
    <row r="57" spans="1:18" ht="13.8">
      <c r="A57" s="69"/>
      <c r="B57" s="166" t="s">
        <v>18</v>
      </c>
      <c r="C57" s="166" t="s">
        <v>149</v>
      </c>
      <c r="D57" s="164" t="s">
        <v>150</v>
      </c>
      <c r="E57" s="166" t="s">
        <v>155</v>
      </c>
      <c r="F57" s="167" t="s">
        <v>159</v>
      </c>
      <c r="G57" s="166" t="str">
        <f t="shared" si="3"/>
        <v/>
      </c>
      <c r="H57" s="245" t="str">
        <f t="shared" si="2"/>
        <v/>
      </c>
      <c r="I57" s="66"/>
      <c r="J57" s="66"/>
      <c r="K57" s="66"/>
      <c r="L57" s="66"/>
    </row>
    <row r="58" spans="1:18" ht="13.8">
      <c r="A58" s="69"/>
      <c r="B58" s="166" t="s">
        <v>18</v>
      </c>
      <c r="C58" s="166" t="s">
        <v>149</v>
      </c>
      <c r="D58" s="164" t="s">
        <v>150</v>
      </c>
      <c r="E58" s="166" t="s">
        <v>156</v>
      </c>
      <c r="F58" s="167" t="s">
        <v>158</v>
      </c>
      <c r="G58" s="166" t="str">
        <f t="shared" si="3"/>
        <v/>
      </c>
      <c r="H58" s="245" t="str">
        <f t="shared" si="2"/>
        <v/>
      </c>
      <c r="I58" s="66"/>
      <c r="J58" s="66"/>
      <c r="K58" s="66"/>
      <c r="L58" s="66"/>
    </row>
    <row r="59" spans="1:18" ht="13.8">
      <c r="A59" s="69"/>
      <c r="B59" s="166" t="s">
        <v>18</v>
      </c>
      <c r="C59" s="166" t="s">
        <v>149</v>
      </c>
      <c r="D59" s="164" t="s">
        <v>150</v>
      </c>
      <c r="E59" s="166" t="s">
        <v>156</v>
      </c>
      <c r="F59" s="167" t="s">
        <v>159</v>
      </c>
      <c r="G59" s="166" t="str">
        <f t="shared" si="3"/>
        <v/>
      </c>
      <c r="H59" s="245" t="str">
        <f t="shared" si="2"/>
        <v/>
      </c>
      <c r="I59" s="66"/>
      <c r="J59" s="66"/>
      <c r="K59" s="66"/>
      <c r="L59" s="66"/>
    </row>
    <row r="60" spans="1:18" ht="13.8">
      <c r="A60" s="69"/>
      <c r="B60" s="166" t="s">
        <v>18</v>
      </c>
      <c r="C60" s="166" t="s">
        <v>149</v>
      </c>
      <c r="D60" s="164" t="s">
        <v>151</v>
      </c>
      <c r="E60" s="166" t="s">
        <v>155</v>
      </c>
      <c r="F60" s="166" t="s">
        <v>158</v>
      </c>
      <c r="G60" s="166" t="str">
        <f t="shared" si="3"/>
        <v/>
      </c>
      <c r="H60" s="245" t="str">
        <f t="shared" si="2"/>
        <v/>
      </c>
      <c r="I60" s="66"/>
      <c r="J60" s="66"/>
      <c r="K60" s="66"/>
      <c r="L60" s="66"/>
    </row>
    <row r="61" spans="1:18" ht="13.8">
      <c r="A61" s="69"/>
      <c r="B61" s="166" t="s">
        <v>18</v>
      </c>
      <c r="C61" s="166" t="s">
        <v>149</v>
      </c>
      <c r="D61" s="164" t="s">
        <v>151</v>
      </c>
      <c r="E61" s="166" t="s">
        <v>155</v>
      </c>
      <c r="F61" s="166" t="s">
        <v>159</v>
      </c>
      <c r="G61" s="166" t="str">
        <f t="shared" si="3"/>
        <v/>
      </c>
      <c r="H61" s="245" t="str">
        <f t="shared" si="2"/>
        <v/>
      </c>
      <c r="I61" s="66"/>
      <c r="J61" s="66"/>
      <c r="K61" s="66"/>
      <c r="L61" s="66"/>
    </row>
    <row r="62" spans="1:18" ht="13.8">
      <c r="A62" s="69"/>
      <c r="B62" s="166" t="s">
        <v>18</v>
      </c>
      <c r="C62" s="166" t="s">
        <v>149</v>
      </c>
      <c r="D62" s="164" t="s">
        <v>151</v>
      </c>
      <c r="E62" s="166" t="s">
        <v>156</v>
      </c>
      <c r="F62" s="166" t="s">
        <v>158</v>
      </c>
      <c r="G62" s="166" t="str">
        <f t="shared" si="3"/>
        <v/>
      </c>
      <c r="H62" s="245" t="str">
        <f t="shared" si="2"/>
        <v/>
      </c>
      <c r="I62" s="66"/>
      <c r="J62" s="66"/>
      <c r="K62" s="66"/>
      <c r="L62" s="66"/>
    </row>
    <row r="63" spans="1:18" ht="13.8">
      <c r="A63" s="69"/>
      <c r="B63" s="166" t="s">
        <v>18</v>
      </c>
      <c r="C63" s="166" t="s">
        <v>149</v>
      </c>
      <c r="D63" s="164" t="s">
        <v>151</v>
      </c>
      <c r="E63" s="166" t="s">
        <v>156</v>
      </c>
      <c r="F63" s="166" t="s">
        <v>159</v>
      </c>
      <c r="G63" s="166" t="str">
        <f t="shared" si="3"/>
        <v/>
      </c>
      <c r="H63" s="245" t="str">
        <f t="shared" si="2"/>
        <v/>
      </c>
      <c r="I63" s="66"/>
      <c r="J63" s="66"/>
      <c r="K63" s="66"/>
      <c r="L63" s="66"/>
    </row>
    <row r="64" spans="1:18" ht="13.8">
      <c r="A64" s="87"/>
      <c r="B64" s="166" t="s">
        <v>18</v>
      </c>
      <c r="C64" s="166" t="s">
        <v>152</v>
      </c>
      <c r="D64" s="164" t="s">
        <v>150</v>
      </c>
      <c r="E64" s="166" t="s">
        <v>155</v>
      </c>
      <c r="F64" s="166" t="s">
        <v>158</v>
      </c>
      <c r="G64" s="166" t="str">
        <f t="shared" si="3"/>
        <v/>
      </c>
      <c r="H64" s="245" t="str">
        <f t="shared" si="2"/>
        <v/>
      </c>
      <c r="I64" s="66"/>
      <c r="J64" s="66"/>
      <c r="K64" s="66"/>
      <c r="L64" s="66"/>
    </row>
    <row r="65" spans="1:12" s="74" customFormat="1" ht="13.8">
      <c r="A65" s="88"/>
      <c r="B65" s="166" t="s">
        <v>18</v>
      </c>
      <c r="C65" s="166" t="s">
        <v>152</v>
      </c>
      <c r="D65" s="164" t="s">
        <v>150</v>
      </c>
      <c r="E65" s="166" t="s">
        <v>155</v>
      </c>
      <c r="F65" s="166" t="s">
        <v>159</v>
      </c>
      <c r="G65" s="166" t="str">
        <f t="shared" si="3"/>
        <v/>
      </c>
      <c r="H65" s="245" t="str">
        <f t="shared" si="2"/>
        <v/>
      </c>
      <c r="I65" s="72"/>
      <c r="J65" s="72"/>
      <c r="K65" s="72"/>
      <c r="L65" s="72"/>
    </row>
    <row r="66" spans="1:12" s="74" customFormat="1" ht="13.8">
      <c r="A66" s="88"/>
      <c r="B66" s="166" t="s">
        <v>18</v>
      </c>
      <c r="C66" s="166" t="s">
        <v>152</v>
      </c>
      <c r="D66" s="164" t="s">
        <v>150</v>
      </c>
      <c r="E66" s="166" t="s">
        <v>156</v>
      </c>
      <c r="F66" s="166" t="s">
        <v>158</v>
      </c>
      <c r="G66" s="166" t="str">
        <f t="shared" si="3"/>
        <v/>
      </c>
      <c r="H66" s="245" t="str">
        <f t="shared" si="2"/>
        <v/>
      </c>
      <c r="I66" s="72"/>
      <c r="J66" s="72"/>
      <c r="K66" s="72"/>
      <c r="L66" s="72"/>
    </row>
    <row r="67" spans="1:12" s="74" customFormat="1" ht="13.8">
      <c r="A67" s="88"/>
      <c r="B67" s="166" t="s">
        <v>18</v>
      </c>
      <c r="C67" s="166" t="s">
        <v>152</v>
      </c>
      <c r="D67" s="164" t="s">
        <v>150</v>
      </c>
      <c r="E67" s="166" t="s">
        <v>156</v>
      </c>
      <c r="F67" s="166" t="s">
        <v>159</v>
      </c>
      <c r="G67" s="166" t="str">
        <f t="shared" si="3"/>
        <v/>
      </c>
      <c r="H67" s="245" t="str">
        <f t="shared" si="2"/>
        <v/>
      </c>
      <c r="I67" s="72"/>
      <c r="J67" s="72"/>
      <c r="K67" s="72"/>
      <c r="L67" s="72"/>
    </row>
    <row r="68" spans="1:12" s="74" customFormat="1" ht="13.8">
      <c r="A68" s="88"/>
      <c r="B68" s="166" t="s">
        <v>18</v>
      </c>
      <c r="C68" s="166" t="s">
        <v>152</v>
      </c>
      <c r="D68" s="164" t="s">
        <v>151</v>
      </c>
      <c r="E68" s="166" t="s">
        <v>155</v>
      </c>
      <c r="F68" s="166" t="s">
        <v>158</v>
      </c>
      <c r="G68" s="166" t="str">
        <f t="shared" si="3"/>
        <v/>
      </c>
      <c r="H68" s="245" t="str">
        <f t="shared" si="2"/>
        <v/>
      </c>
      <c r="I68" s="72"/>
      <c r="J68" s="72"/>
      <c r="K68" s="72"/>
      <c r="L68" s="72"/>
    </row>
    <row r="69" spans="1:12" s="91" customFormat="1" ht="14.4">
      <c r="A69" s="89"/>
      <c r="B69" s="166" t="s">
        <v>18</v>
      </c>
      <c r="C69" s="166" t="s">
        <v>152</v>
      </c>
      <c r="D69" s="164" t="s">
        <v>151</v>
      </c>
      <c r="E69" s="166" t="s">
        <v>155</v>
      </c>
      <c r="F69" s="166" t="s">
        <v>159</v>
      </c>
      <c r="G69" s="166" t="str">
        <f t="shared" si="3"/>
        <v/>
      </c>
      <c r="H69" s="245" t="str">
        <f t="shared" si="2"/>
        <v/>
      </c>
      <c r="I69" s="90"/>
      <c r="J69" s="90"/>
      <c r="K69" s="90"/>
      <c r="L69" s="90"/>
    </row>
    <row r="70" spans="1:12" s="91" customFormat="1" ht="14.4">
      <c r="A70" s="89"/>
      <c r="B70" s="166" t="s">
        <v>18</v>
      </c>
      <c r="C70" s="166" t="s">
        <v>152</v>
      </c>
      <c r="D70" s="164" t="s">
        <v>151</v>
      </c>
      <c r="E70" s="166" t="s">
        <v>156</v>
      </c>
      <c r="F70" s="166" t="s">
        <v>158</v>
      </c>
      <c r="G70" s="166" t="str">
        <f t="shared" si="3"/>
        <v/>
      </c>
      <c r="H70" s="245" t="str">
        <f t="shared" si="2"/>
        <v/>
      </c>
      <c r="I70" s="90"/>
      <c r="J70" s="90"/>
      <c r="K70" s="90"/>
      <c r="L70" s="90"/>
    </row>
    <row r="71" spans="1:12" s="91" customFormat="1" ht="14.4">
      <c r="A71" s="89"/>
      <c r="B71" s="168" t="s">
        <v>18</v>
      </c>
      <c r="C71" s="168" t="s">
        <v>152</v>
      </c>
      <c r="D71" s="169" t="s">
        <v>151</v>
      </c>
      <c r="E71" s="168" t="s">
        <v>156</v>
      </c>
      <c r="F71" s="168" t="s">
        <v>159</v>
      </c>
      <c r="G71" s="168" t="str">
        <f t="shared" si="3"/>
        <v/>
      </c>
      <c r="H71" s="246" t="str">
        <f t="shared" si="2"/>
        <v/>
      </c>
      <c r="I71" s="90"/>
      <c r="J71" s="90"/>
      <c r="K71" s="90"/>
      <c r="L71" s="90"/>
    </row>
    <row r="72" spans="1:12" s="91" customFormat="1" ht="14.4">
      <c r="A72" s="89"/>
      <c r="B72" s="163" t="s">
        <v>19</v>
      </c>
      <c r="C72" s="166" t="s">
        <v>149</v>
      </c>
      <c r="D72" s="164" t="s">
        <v>150</v>
      </c>
      <c r="E72" s="166" t="s">
        <v>155</v>
      </c>
      <c r="F72" s="167" t="s">
        <v>158</v>
      </c>
      <c r="G72" s="170" t="str">
        <f t="shared" ref="G72:G87" si="4">IF(I13="","",I13)</f>
        <v/>
      </c>
      <c r="H72" s="244" t="str">
        <f t="shared" si="2"/>
        <v/>
      </c>
      <c r="I72" s="90"/>
      <c r="J72" s="90"/>
      <c r="K72" s="90"/>
      <c r="L72" s="90"/>
    </row>
    <row r="73" spans="1:12" s="91" customFormat="1" ht="14.4">
      <c r="A73" s="89"/>
      <c r="B73" s="166" t="s">
        <v>19</v>
      </c>
      <c r="C73" s="166" t="s">
        <v>149</v>
      </c>
      <c r="D73" s="164" t="s">
        <v>150</v>
      </c>
      <c r="E73" s="166" t="s">
        <v>155</v>
      </c>
      <c r="F73" s="167" t="s">
        <v>159</v>
      </c>
      <c r="G73" s="170" t="str">
        <f t="shared" si="4"/>
        <v/>
      </c>
      <c r="H73" s="245" t="str">
        <f t="shared" si="2"/>
        <v/>
      </c>
      <c r="I73" s="90"/>
      <c r="J73" s="90"/>
      <c r="K73" s="90"/>
      <c r="L73" s="90"/>
    </row>
    <row r="74" spans="1:12" s="91" customFormat="1" ht="14.4">
      <c r="A74" s="89"/>
      <c r="B74" s="166" t="s">
        <v>19</v>
      </c>
      <c r="C74" s="166" t="s">
        <v>149</v>
      </c>
      <c r="D74" s="164" t="s">
        <v>150</v>
      </c>
      <c r="E74" s="166" t="s">
        <v>156</v>
      </c>
      <c r="F74" s="167" t="s">
        <v>158</v>
      </c>
      <c r="G74" s="170" t="str">
        <f t="shared" si="4"/>
        <v/>
      </c>
      <c r="H74" s="245" t="str">
        <f t="shared" si="2"/>
        <v/>
      </c>
      <c r="I74" s="90"/>
      <c r="J74" s="90"/>
      <c r="K74" s="90"/>
      <c r="L74" s="90"/>
    </row>
    <row r="75" spans="1:12" s="74" customFormat="1" ht="13.8">
      <c r="A75" s="69"/>
      <c r="B75" s="166" t="s">
        <v>19</v>
      </c>
      <c r="C75" s="166" t="s">
        <v>149</v>
      </c>
      <c r="D75" s="164" t="s">
        <v>150</v>
      </c>
      <c r="E75" s="166" t="s">
        <v>156</v>
      </c>
      <c r="F75" s="167" t="s">
        <v>159</v>
      </c>
      <c r="G75" s="170" t="str">
        <f t="shared" si="4"/>
        <v/>
      </c>
      <c r="H75" s="245" t="str">
        <f t="shared" si="2"/>
        <v/>
      </c>
      <c r="I75" s="72"/>
      <c r="J75" s="72"/>
      <c r="K75" s="72"/>
      <c r="L75" s="72"/>
    </row>
    <row r="76" spans="1:12" s="74" customFormat="1" ht="13.8">
      <c r="A76" s="69"/>
      <c r="B76" s="166" t="s">
        <v>19</v>
      </c>
      <c r="C76" s="166" t="s">
        <v>149</v>
      </c>
      <c r="D76" s="164" t="s">
        <v>151</v>
      </c>
      <c r="E76" s="166" t="s">
        <v>155</v>
      </c>
      <c r="F76" s="166" t="s">
        <v>158</v>
      </c>
      <c r="G76" s="170" t="str">
        <f t="shared" si="4"/>
        <v/>
      </c>
      <c r="H76" s="245" t="str">
        <f t="shared" si="2"/>
        <v/>
      </c>
      <c r="I76" s="72"/>
      <c r="J76" s="72"/>
      <c r="K76" s="72"/>
      <c r="L76" s="72"/>
    </row>
    <row r="77" spans="1:12">
      <c r="A77" s="66"/>
      <c r="B77" s="166" t="s">
        <v>19</v>
      </c>
      <c r="C77" s="166" t="s">
        <v>149</v>
      </c>
      <c r="D77" s="164" t="s">
        <v>151</v>
      </c>
      <c r="E77" s="166" t="s">
        <v>155</v>
      </c>
      <c r="F77" s="166" t="s">
        <v>159</v>
      </c>
      <c r="G77" s="170" t="str">
        <f t="shared" si="4"/>
        <v/>
      </c>
      <c r="H77" s="245" t="str">
        <f t="shared" si="2"/>
        <v/>
      </c>
      <c r="I77" s="66"/>
      <c r="J77" s="66"/>
      <c r="K77" s="66"/>
      <c r="L77" s="66"/>
    </row>
    <row r="78" spans="1:12">
      <c r="A78" s="66"/>
      <c r="B78" s="166" t="s">
        <v>19</v>
      </c>
      <c r="C78" s="166" t="s">
        <v>149</v>
      </c>
      <c r="D78" s="164" t="s">
        <v>151</v>
      </c>
      <c r="E78" s="166" t="s">
        <v>156</v>
      </c>
      <c r="F78" s="166" t="s">
        <v>158</v>
      </c>
      <c r="G78" s="170" t="str">
        <f t="shared" si="4"/>
        <v/>
      </c>
      <c r="H78" s="245" t="str">
        <f t="shared" si="2"/>
        <v/>
      </c>
      <c r="I78" s="66"/>
      <c r="J78" s="66"/>
      <c r="K78" s="66"/>
      <c r="L78" s="66"/>
    </row>
    <row r="79" spans="1:12">
      <c r="A79" s="66"/>
      <c r="B79" s="166" t="s">
        <v>19</v>
      </c>
      <c r="C79" s="166" t="s">
        <v>149</v>
      </c>
      <c r="D79" s="164" t="s">
        <v>151</v>
      </c>
      <c r="E79" s="166" t="s">
        <v>156</v>
      </c>
      <c r="F79" s="166" t="s">
        <v>159</v>
      </c>
      <c r="G79" s="170" t="str">
        <f t="shared" si="4"/>
        <v/>
      </c>
      <c r="H79" s="245" t="str">
        <f t="shared" si="2"/>
        <v/>
      </c>
      <c r="I79" s="66"/>
      <c r="J79" s="66"/>
      <c r="K79" s="66"/>
      <c r="L79" s="66"/>
    </row>
    <row r="80" spans="1:12">
      <c r="A80" s="66"/>
      <c r="B80" s="166" t="s">
        <v>19</v>
      </c>
      <c r="C80" s="166" t="s">
        <v>152</v>
      </c>
      <c r="D80" s="164" t="s">
        <v>150</v>
      </c>
      <c r="E80" s="166" t="s">
        <v>155</v>
      </c>
      <c r="F80" s="166" t="s">
        <v>158</v>
      </c>
      <c r="G80" s="170" t="str">
        <f t="shared" si="4"/>
        <v/>
      </c>
      <c r="H80" s="245" t="str">
        <f t="shared" si="2"/>
        <v/>
      </c>
      <c r="I80" s="66"/>
      <c r="J80" s="66"/>
      <c r="K80" s="66"/>
      <c r="L80" s="66"/>
    </row>
    <row r="81" spans="1:12">
      <c r="A81" s="66"/>
      <c r="B81" s="166" t="s">
        <v>19</v>
      </c>
      <c r="C81" s="166" t="s">
        <v>152</v>
      </c>
      <c r="D81" s="164" t="s">
        <v>150</v>
      </c>
      <c r="E81" s="166" t="s">
        <v>155</v>
      </c>
      <c r="F81" s="166" t="s">
        <v>159</v>
      </c>
      <c r="G81" s="170" t="str">
        <f t="shared" si="4"/>
        <v/>
      </c>
      <c r="H81" s="245" t="str">
        <f t="shared" si="2"/>
        <v/>
      </c>
      <c r="I81" s="66"/>
      <c r="J81" s="66"/>
      <c r="K81" s="66"/>
      <c r="L81" s="66"/>
    </row>
    <row r="82" spans="1:12">
      <c r="A82" s="66"/>
      <c r="B82" s="166" t="s">
        <v>19</v>
      </c>
      <c r="C82" s="166" t="s">
        <v>152</v>
      </c>
      <c r="D82" s="164" t="s">
        <v>150</v>
      </c>
      <c r="E82" s="166" t="s">
        <v>156</v>
      </c>
      <c r="F82" s="166" t="s">
        <v>158</v>
      </c>
      <c r="G82" s="170" t="str">
        <f t="shared" si="4"/>
        <v/>
      </c>
      <c r="H82" s="245" t="str">
        <f t="shared" si="2"/>
        <v/>
      </c>
      <c r="I82" s="66"/>
      <c r="J82" s="66"/>
      <c r="K82" s="66"/>
      <c r="L82" s="66"/>
    </row>
    <row r="83" spans="1:12">
      <c r="A83" s="66"/>
      <c r="B83" s="166" t="s">
        <v>19</v>
      </c>
      <c r="C83" s="166" t="s">
        <v>152</v>
      </c>
      <c r="D83" s="164" t="s">
        <v>150</v>
      </c>
      <c r="E83" s="166" t="s">
        <v>156</v>
      </c>
      <c r="F83" s="166" t="s">
        <v>159</v>
      </c>
      <c r="G83" s="170" t="str">
        <f t="shared" si="4"/>
        <v/>
      </c>
      <c r="H83" s="245" t="str">
        <f t="shared" si="2"/>
        <v/>
      </c>
      <c r="I83" s="66"/>
      <c r="J83" s="66"/>
      <c r="K83" s="66"/>
      <c r="L83" s="66"/>
    </row>
    <row r="84" spans="1:12">
      <c r="A84" s="66"/>
      <c r="B84" s="166" t="s">
        <v>19</v>
      </c>
      <c r="C84" s="166" t="s">
        <v>152</v>
      </c>
      <c r="D84" s="164" t="s">
        <v>151</v>
      </c>
      <c r="E84" s="166" t="s">
        <v>155</v>
      </c>
      <c r="F84" s="166" t="s">
        <v>158</v>
      </c>
      <c r="G84" s="170" t="str">
        <f t="shared" si="4"/>
        <v/>
      </c>
      <c r="H84" s="245" t="str">
        <f t="shared" si="2"/>
        <v/>
      </c>
      <c r="I84" s="66"/>
      <c r="J84" s="66"/>
      <c r="K84" s="66"/>
      <c r="L84" s="66"/>
    </row>
    <row r="85" spans="1:12">
      <c r="A85" s="66"/>
      <c r="B85" s="166" t="s">
        <v>19</v>
      </c>
      <c r="C85" s="166" t="s">
        <v>152</v>
      </c>
      <c r="D85" s="164" t="s">
        <v>151</v>
      </c>
      <c r="E85" s="166" t="s">
        <v>155</v>
      </c>
      <c r="F85" s="166" t="s">
        <v>159</v>
      </c>
      <c r="G85" s="170" t="str">
        <f t="shared" si="4"/>
        <v/>
      </c>
      <c r="H85" s="245" t="str">
        <f t="shared" si="2"/>
        <v/>
      </c>
      <c r="I85" s="66"/>
      <c r="J85" s="66"/>
      <c r="K85" s="66"/>
      <c r="L85" s="66"/>
    </row>
    <row r="86" spans="1:12">
      <c r="A86" s="66"/>
      <c r="B86" s="166" t="s">
        <v>19</v>
      </c>
      <c r="C86" s="166" t="s">
        <v>152</v>
      </c>
      <c r="D86" s="164" t="s">
        <v>151</v>
      </c>
      <c r="E86" s="166" t="s">
        <v>156</v>
      </c>
      <c r="F86" s="166" t="s">
        <v>158</v>
      </c>
      <c r="G86" s="170" t="str">
        <f t="shared" si="4"/>
        <v/>
      </c>
      <c r="H86" s="245" t="str">
        <f t="shared" si="2"/>
        <v/>
      </c>
      <c r="I86" s="66"/>
      <c r="J86" s="66"/>
      <c r="K86" s="66"/>
      <c r="L86" s="66"/>
    </row>
    <row r="87" spans="1:12">
      <c r="A87" s="66"/>
      <c r="B87" s="168" t="s">
        <v>19</v>
      </c>
      <c r="C87" s="168" t="s">
        <v>152</v>
      </c>
      <c r="D87" s="169" t="s">
        <v>151</v>
      </c>
      <c r="E87" s="168" t="s">
        <v>156</v>
      </c>
      <c r="F87" s="168" t="s">
        <v>159</v>
      </c>
      <c r="G87" s="171" t="str">
        <f t="shared" si="4"/>
        <v/>
      </c>
      <c r="H87" s="246" t="str">
        <f t="shared" si="2"/>
        <v/>
      </c>
      <c r="I87" s="66"/>
      <c r="J87" s="66"/>
      <c r="K87" s="66"/>
      <c r="L87" s="66"/>
    </row>
    <row r="88" spans="1:12">
      <c r="A88" s="66"/>
      <c r="B88" s="163" t="s">
        <v>20</v>
      </c>
      <c r="C88" s="166" t="s">
        <v>149</v>
      </c>
      <c r="D88" s="164" t="s">
        <v>150</v>
      </c>
      <c r="E88" s="166" t="s">
        <v>155</v>
      </c>
      <c r="F88" s="167" t="s">
        <v>158</v>
      </c>
      <c r="G88" s="166" t="str">
        <f t="shared" ref="G88:G103" si="5">IF(J13="","",J13)</f>
        <v/>
      </c>
      <c r="H88" s="244" t="str">
        <f t="shared" si="2"/>
        <v/>
      </c>
      <c r="I88" s="66"/>
      <c r="J88" s="66"/>
      <c r="K88" s="66"/>
      <c r="L88" s="66"/>
    </row>
    <row r="89" spans="1:12">
      <c r="A89" s="66"/>
      <c r="B89" s="166" t="s">
        <v>20</v>
      </c>
      <c r="C89" s="166" t="s">
        <v>149</v>
      </c>
      <c r="D89" s="164" t="s">
        <v>150</v>
      </c>
      <c r="E89" s="166" t="s">
        <v>155</v>
      </c>
      <c r="F89" s="167" t="s">
        <v>159</v>
      </c>
      <c r="G89" s="166" t="str">
        <f t="shared" si="5"/>
        <v/>
      </c>
      <c r="H89" s="245" t="str">
        <f t="shared" si="2"/>
        <v/>
      </c>
      <c r="I89" s="66"/>
      <c r="J89" s="66"/>
      <c r="K89" s="66"/>
      <c r="L89" s="66"/>
    </row>
    <row r="90" spans="1:12">
      <c r="A90" s="66"/>
      <c r="B90" s="166" t="s">
        <v>20</v>
      </c>
      <c r="C90" s="166" t="s">
        <v>149</v>
      </c>
      <c r="D90" s="164" t="s">
        <v>150</v>
      </c>
      <c r="E90" s="166" t="s">
        <v>156</v>
      </c>
      <c r="F90" s="167" t="s">
        <v>158</v>
      </c>
      <c r="G90" s="166" t="str">
        <f t="shared" si="5"/>
        <v/>
      </c>
      <c r="H90" s="245" t="str">
        <f t="shared" si="2"/>
        <v/>
      </c>
      <c r="I90" s="66"/>
      <c r="J90" s="66"/>
      <c r="K90" s="66"/>
      <c r="L90" s="66"/>
    </row>
    <row r="91" spans="1:12">
      <c r="A91" s="66"/>
      <c r="B91" s="166" t="s">
        <v>20</v>
      </c>
      <c r="C91" s="166" t="s">
        <v>149</v>
      </c>
      <c r="D91" s="164" t="s">
        <v>150</v>
      </c>
      <c r="E91" s="166" t="s">
        <v>156</v>
      </c>
      <c r="F91" s="167" t="s">
        <v>159</v>
      </c>
      <c r="G91" s="166" t="str">
        <f t="shared" si="5"/>
        <v/>
      </c>
      <c r="H91" s="245" t="str">
        <f t="shared" si="2"/>
        <v/>
      </c>
      <c r="I91" s="66"/>
      <c r="J91" s="66"/>
      <c r="K91" s="66"/>
      <c r="L91" s="66"/>
    </row>
    <row r="92" spans="1:12">
      <c r="A92" s="66"/>
      <c r="B92" s="166" t="s">
        <v>20</v>
      </c>
      <c r="C92" s="166" t="s">
        <v>149</v>
      </c>
      <c r="D92" s="164" t="s">
        <v>151</v>
      </c>
      <c r="E92" s="166" t="s">
        <v>155</v>
      </c>
      <c r="F92" s="166" t="s">
        <v>158</v>
      </c>
      <c r="G92" s="166" t="str">
        <f t="shared" si="5"/>
        <v/>
      </c>
      <c r="H92" s="245" t="str">
        <f t="shared" si="2"/>
        <v/>
      </c>
      <c r="I92" s="66"/>
      <c r="J92" s="66"/>
      <c r="K92" s="66"/>
      <c r="L92" s="66"/>
    </row>
    <row r="93" spans="1:12">
      <c r="A93" s="66"/>
      <c r="B93" s="166" t="s">
        <v>20</v>
      </c>
      <c r="C93" s="166" t="s">
        <v>149</v>
      </c>
      <c r="D93" s="164" t="s">
        <v>151</v>
      </c>
      <c r="E93" s="166" t="s">
        <v>155</v>
      </c>
      <c r="F93" s="166" t="s">
        <v>159</v>
      </c>
      <c r="G93" s="166" t="str">
        <f t="shared" si="5"/>
        <v/>
      </c>
      <c r="H93" s="245" t="str">
        <f t="shared" si="2"/>
        <v/>
      </c>
      <c r="I93" s="66"/>
      <c r="J93" s="66"/>
      <c r="K93" s="66"/>
      <c r="L93" s="66"/>
    </row>
    <row r="94" spans="1:12">
      <c r="A94" s="66"/>
      <c r="B94" s="166" t="s">
        <v>20</v>
      </c>
      <c r="C94" s="166" t="s">
        <v>149</v>
      </c>
      <c r="D94" s="164" t="s">
        <v>151</v>
      </c>
      <c r="E94" s="166" t="s">
        <v>156</v>
      </c>
      <c r="F94" s="166" t="s">
        <v>158</v>
      </c>
      <c r="G94" s="166" t="str">
        <f t="shared" si="5"/>
        <v/>
      </c>
      <c r="H94" s="245" t="str">
        <f t="shared" si="2"/>
        <v/>
      </c>
      <c r="I94" s="66"/>
      <c r="J94" s="66"/>
      <c r="K94" s="66"/>
      <c r="L94" s="66"/>
    </row>
    <row r="95" spans="1:12">
      <c r="A95" s="66"/>
      <c r="B95" s="166" t="s">
        <v>20</v>
      </c>
      <c r="C95" s="166" t="s">
        <v>149</v>
      </c>
      <c r="D95" s="164" t="s">
        <v>151</v>
      </c>
      <c r="E95" s="166" t="s">
        <v>156</v>
      </c>
      <c r="F95" s="166" t="s">
        <v>159</v>
      </c>
      <c r="G95" s="166" t="str">
        <f t="shared" si="5"/>
        <v/>
      </c>
      <c r="H95" s="245" t="str">
        <f t="shared" si="2"/>
        <v/>
      </c>
      <c r="I95" s="66"/>
      <c r="J95" s="66"/>
      <c r="K95" s="66"/>
      <c r="L95" s="66"/>
    </row>
    <row r="96" spans="1:12">
      <c r="A96" s="66"/>
      <c r="B96" s="166" t="s">
        <v>20</v>
      </c>
      <c r="C96" s="166" t="s">
        <v>152</v>
      </c>
      <c r="D96" s="164" t="s">
        <v>150</v>
      </c>
      <c r="E96" s="166" t="s">
        <v>155</v>
      </c>
      <c r="F96" s="166" t="s">
        <v>158</v>
      </c>
      <c r="G96" s="166" t="str">
        <f t="shared" si="5"/>
        <v/>
      </c>
      <c r="H96" s="245" t="str">
        <f t="shared" si="2"/>
        <v/>
      </c>
      <c r="I96" s="66"/>
      <c r="J96" s="66"/>
      <c r="K96" s="66"/>
      <c r="L96" s="66"/>
    </row>
    <row r="97" spans="1:12">
      <c r="A97" s="66"/>
      <c r="B97" s="166" t="s">
        <v>20</v>
      </c>
      <c r="C97" s="166" t="s">
        <v>152</v>
      </c>
      <c r="D97" s="164" t="s">
        <v>150</v>
      </c>
      <c r="E97" s="166" t="s">
        <v>155</v>
      </c>
      <c r="F97" s="166" t="s">
        <v>159</v>
      </c>
      <c r="G97" s="166" t="str">
        <f t="shared" si="5"/>
        <v/>
      </c>
      <c r="H97" s="245" t="str">
        <f t="shared" si="2"/>
        <v/>
      </c>
      <c r="I97" s="66"/>
      <c r="J97" s="66"/>
      <c r="K97" s="66"/>
      <c r="L97" s="66"/>
    </row>
    <row r="98" spans="1:12">
      <c r="A98" s="66"/>
      <c r="B98" s="166" t="s">
        <v>20</v>
      </c>
      <c r="C98" s="166" t="s">
        <v>152</v>
      </c>
      <c r="D98" s="164" t="s">
        <v>150</v>
      </c>
      <c r="E98" s="166" t="s">
        <v>156</v>
      </c>
      <c r="F98" s="166" t="s">
        <v>158</v>
      </c>
      <c r="G98" s="166" t="str">
        <f t="shared" si="5"/>
        <v/>
      </c>
      <c r="H98" s="245" t="str">
        <f t="shared" si="2"/>
        <v/>
      </c>
      <c r="I98" s="66"/>
      <c r="J98" s="66"/>
      <c r="K98" s="66"/>
      <c r="L98" s="66"/>
    </row>
    <row r="99" spans="1:12">
      <c r="A99" s="66"/>
      <c r="B99" s="166" t="s">
        <v>20</v>
      </c>
      <c r="C99" s="166" t="s">
        <v>152</v>
      </c>
      <c r="D99" s="164" t="s">
        <v>150</v>
      </c>
      <c r="E99" s="166" t="s">
        <v>156</v>
      </c>
      <c r="F99" s="166" t="s">
        <v>159</v>
      </c>
      <c r="G99" s="166" t="str">
        <f t="shared" si="5"/>
        <v/>
      </c>
      <c r="H99" s="245" t="str">
        <f t="shared" si="2"/>
        <v/>
      </c>
      <c r="I99" s="66"/>
      <c r="J99" s="66"/>
      <c r="K99" s="66"/>
      <c r="L99" s="66"/>
    </row>
    <row r="100" spans="1:12">
      <c r="A100" s="66"/>
      <c r="B100" s="166" t="s">
        <v>20</v>
      </c>
      <c r="C100" s="166" t="s">
        <v>152</v>
      </c>
      <c r="D100" s="164" t="s">
        <v>151</v>
      </c>
      <c r="E100" s="166" t="s">
        <v>155</v>
      </c>
      <c r="F100" s="166" t="s">
        <v>158</v>
      </c>
      <c r="G100" s="166" t="str">
        <f t="shared" si="5"/>
        <v/>
      </c>
      <c r="H100" s="245" t="str">
        <f t="shared" si="2"/>
        <v/>
      </c>
      <c r="I100" s="66"/>
      <c r="J100" s="66"/>
      <c r="K100" s="66"/>
      <c r="L100" s="66"/>
    </row>
    <row r="101" spans="1:12">
      <c r="A101" s="66"/>
      <c r="B101" s="166" t="s">
        <v>20</v>
      </c>
      <c r="C101" s="166" t="s">
        <v>152</v>
      </c>
      <c r="D101" s="164" t="s">
        <v>151</v>
      </c>
      <c r="E101" s="166" t="s">
        <v>155</v>
      </c>
      <c r="F101" s="166" t="s">
        <v>159</v>
      </c>
      <c r="G101" s="166" t="str">
        <f t="shared" si="5"/>
        <v/>
      </c>
      <c r="H101" s="245" t="str">
        <f t="shared" si="2"/>
        <v/>
      </c>
      <c r="I101" s="66"/>
      <c r="J101" s="66"/>
      <c r="K101" s="66"/>
      <c r="L101" s="66"/>
    </row>
    <row r="102" spans="1:12">
      <c r="A102" s="66"/>
      <c r="B102" s="166" t="s">
        <v>20</v>
      </c>
      <c r="C102" s="166" t="s">
        <v>152</v>
      </c>
      <c r="D102" s="164" t="s">
        <v>151</v>
      </c>
      <c r="E102" s="166" t="s">
        <v>156</v>
      </c>
      <c r="F102" s="166" t="s">
        <v>158</v>
      </c>
      <c r="G102" s="166" t="str">
        <f t="shared" si="5"/>
        <v/>
      </c>
      <c r="H102" s="245" t="str">
        <f t="shared" si="2"/>
        <v/>
      </c>
      <c r="I102" s="66"/>
      <c r="J102" s="66"/>
      <c r="K102" s="66"/>
      <c r="L102" s="66"/>
    </row>
    <row r="103" spans="1:12">
      <c r="A103" s="66"/>
      <c r="B103" s="168" t="s">
        <v>20</v>
      </c>
      <c r="C103" s="168" t="s">
        <v>152</v>
      </c>
      <c r="D103" s="169" t="s">
        <v>151</v>
      </c>
      <c r="E103" s="168" t="s">
        <v>156</v>
      </c>
      <c r="F103" s="168" t="s">
        <v>159</v>
      </c>
      <c r="G103" s="168" t="str">
        <f t="shared" si="5"/>
        <v/>
      </c>
      <c r="H103" s="246" t="str">
        <f t="shared" si="2"/>
        <v/>
      </c>
      <c r="I103" s="66"/>
      <c r="J103" s="66"/>
      <c r="K103" s="66"/>
      <c r="L103" s="66"/>
    </row>
    <row r="104" spans="1:12">
      <c r="A104" s="66"/>
      <c r="B104" s="163" t="s">
        <v>21</v>
      </c>
      <c r="C104" s="166" t="s">
        <v>149</v>
      </c>
      <c r="D104" s="164" t="s">
        <v>150</v>
      </c>
      <c r="E104" s="166" t="s">
        <v>155</v>
      </c>
      <c r="F104" s="167" t="s">
        <v>158</v>
      </c>
      <c r="G104" s="166" t="str">
        <f t="shared" ref="G104:G119" si="6">IF(K13="","",K13)</f>
        <v/>
      </c>
      <c r="H104" s="244" t="str">
        <f t="shared" si="2"/>
        <v/>
      </c>
      <c r="I104" s="66"/>
      <c r="J104" s="66"/>
      <c r="K104" s="66"/>
      <c r="L104" s="66"/>
    </row>
    <row r="105" spans="1:12">
      <c r="A105" s="66"/>
      <c r="B105" s="166" t="s">
        <v>21</v>
      </c>
      <c r="C105" s="166" t="s">
        <v>149</v>
      </c>
      <c r="D105" s="164" t="s">
        <v>150</v>
      </c>
      <c r="E105" s="166" t="s">
        <v>155</v>
      </c>
      <c r="F105" s="167" t="s">
        <v>159</v>
      </c>
      <c r="G105" s="166" t="str">
        <f t="shared" si="6"/>
        <v/>
      </c>
      <c r="H105" s="245" t="str">
        <f t="shared" ref="H105:H119" si="7">IF(G105="","",CONCATENATE(C105,"_",D105,"_",E105,"_",F105))</f>
        <v/>
      </c>
      <c r="I105" s="66"/>
      <c r="J105" s="66"/>
      <c r="K105" s="66"/>
      <c r="L105" s="66"/>
    </row>
    <row r="106" spans="1:12">
      <c r="A106" s="66"/>
      <c r="B106" s="166" t="s">
        <v>21</v>
      </c>
      <c r="C106" s="166" t="s">
        <v>149</v>
      </c>
      <c r="D106" s="164" t="s">
        <v>150</v>
      </c>
      <c r="E106" s="166" t="s">
        <v>156</v>
      </c>
      <c r="F106" s="167" t="s">
        <v>158</v>
      </c>
      <c r="G106" s="166" t="str">
        <f t="shared" si="6"/>
        <v/>
      </c>
      <c r="H106" s="245" t="str">
        <f t="shared" si="7"/>
        <v/>
      </c>
      <c r="I106" s="66"/>
      <c r="J106" s="66"/>
      <c r="K106" s="66"/>
      <c r="L106" s="66"/>
    </row>
    <row r="107" spans="1:12">
      <c r="A107" s="66"/>
      <c r="B107" s="166" t="s">
        <v>21</v>
      </c>
      <c r="C107" s="166" t="s">
        <v>149</v>
      </c>
      <c r="D107" s="164" t="s">
        <v>150</v>
      </c>
      <c r="E107" s="166" t="s">
        <v>156</v>
      </c>
      <c r="F107" s="167" t="s">
        <v>159</v>
      </c>
      <c r="G107" s="166" t="str">
        <f t="shared" si="6"/>
        <v/>
      </c>
      <c r="H107" s="245" t="str">
        <f t="shared" si="7"/>
        <v/>
      </c>
      <c r="I107" s="66"/>
      <c r="J107" s="66"/>
      <c r="K107" s="66"/>
      <c r="L107" s="66"/>
    </row>
    <row r="108" spans="1:12">
      <c r="A108" s="66"/>
      <c r="B108" s="166" t="s">
        <v>21</v>
      </c>
      <c r="C108" s="166" t="s">
        <v>149</v>
      </c>
      <c r="D108" s="164" t="s">
        <v>151</v>
      </c>
      <c r="E108" s="166" t="s">
        <v>155</v>
      </c>
      <c r="F108" s="166" t="s">
        <v>158</v>
      </c>
      <c r="G108" s="166" t="str">
        <f t="shared" si="6"/>
        <v/>
      </c>
      <c r="H108" s="245" t="str">
        <f t="shared" si="7"/>
        <v/>
      </c>
      <c r="I108" s="66"/>
      <c r="J108" s="66"/>
      <c r="K108" s="66"/>
      <c r="L108" s="66"/>
    </row>
    <row r="109" spans="1:12">
      <c r="A109" s="66"/>
      <c r="B109" s="166" t="s">
        <v>21</v>
      </c>
      <c r="C109" s="166" t="s">
        <v>149</v>
      </c>
      <c r="D109" s="164" t="s">
        <v>151</v>
      </c>
      <c r="E109" s="166" t="s">
        <v>155</v>
      </c>
      <c r="F109" s="166" t="s">
        <v>159</v>
      </c>
      <c r="G109" s="166" t="str">
        <f t="shared" si="6"/>
        <v/>
      </c>
      <c r="H109" s="245" t="str">
        <f t="shared" si="7"/>
        <v/>
      </c>
      <c r="I109" s="66"/>
      <c r="J109" s="66"/>
      <c r="K109" s="66"/>
      <c r="L109" s="66"/>
    </row>
    <row r="110" spans="1:12">
      <c r="A110" s="66"/>
      <c r="B110" s="166" t="s">
        <v>21</v>
      </c>
      <c r="C110" s="166" t="s">
        <v>149</v>
      </c>
      <c r="D110" s="164" t="s">
        <v>151</v>
      </c>
      <c r="E110" s="166" t="s">
        <v>156</v>
      </c>
      <c r="F110" s="166" t="s">
        <v>158</v>
      </c>
      <c r="G110" s="166" t="str">
        <f t="shared" si="6"/>
        <v/>
      </c>
      <c r="H110" s="245" t="str">
        <f t="shared" si="7"/>
        <v/>
      </c>
      <c r="I110" s="66"/>
      <c r="J110" s="66"/>
      <c r="K110" s="66"/>
      <c r="L110" s="66"/>
    </row>
    <row r="111" spans="1:12">
      <c r="B111" s="166" t="s">
        <v>21</v>
      </c>
      <c r="C111" s="166" t="s">
        <v>149</v>
      </c>
      <c r="D111" s="164" t="s">
        <v>151</v>
      </c>
      <c r="E111" s="166" t="s">
        <v>156</v>
      </c>
      <c r="F111" s="166" t="s">
        <v>159</v>
      </c>
      <c r="G111" s="166" t="str">
        <f t="shared" si="6"/>
        <v/>
      </c>
      <c r="H111" s="245" t="str">
        <f t="shared" si="7"/>
        <v/>
      </c>
    </row>
    <row r="112" spans="1:12">
      <c r="B112" s="166" t="s">
        <v>21</v>
      </c>
      <c r="C112" s="166" t="s">
        <v>152</v>
      </c>
      <c r="D112" s="164" t="s">
        <v>150</v>
      </c>
      <c r="E112" s="166" t="s">
        <v>155</v>
      </c>
      <c r="F112" s="166" t="s">
        <v>158</v>
      </c>
      <c r="G112" s="166" t="str">
        <f t="shared" si="6"/>
        <v/>
      </c>
      <c r="H112" s="245" t="str">
        <f t="shared" si="7"/>
        <v/>
      </c>
    </row>
    <row r="113" spans="1:8">
      <c r="B113" s="166" t="s">
        <v>21</v>
      </c>
      <c r="C113" s="166" t="s">
        <v>152</v>
      </c>
      <c r="D113" s="164" t="s">
        <v>150</v>
      </c>
      <c r="E113" s="166" t="s">
        <v>155</v>
      </c>
      <c r="F113" s="166" t="s">
        <v>159</v>
      </c>
      <c r="G113" s="166" t="str">
        <f t="shared" si="6"/>
        <v/>
      </c>
      <c r="H113" s="245" t="str">
        <f t="shared" si="7"/>
        <v/>
      </c>
    </row>
    <row r="114" spans="1:8">
      <c r="B114" s="166" t="s">
        <v>21</v>
      </c>
      <c r="C114" s="166" t="s">
        <v>152</v>
      </c>
      <c r="D114" s="164" t="s">
        <v>150</v>
      </c>
      <c r="E114" s="166" t="s">
        <v>156</v>
      </c>
      <c r="F114" s="166" t="s">
        <v>158</v>
      </c>
      <c r="G114" s="166" t="str">
        <f t="shared" si="6"/>
        <v/>
      </c>
      <c r="H114" s="245" t="str">
        <f t="shared" si="7"/>
        <v/>
      </c>
    </row>
    <row r="115" spans="1:8">
      <c r="B115" s="166" t="s">
        <v>21</v>
      </c>
      <c r="C115" s="166" t="s">
        <v>152</v>
      </c>
      <c r="D115" s="164" t="s">
        <v>150</v>
      </c>
      <c r="E115" s="166" t="s">
        <v>156</v>
      </c>
      <c r="F115" s="166" t="s">
        <v>159</v>
      </c>
      <c r="G115" s="166" t="str">
        <f t="shared" si="6"/>
        <v/>
      </c>
      <c r="H115" s="245" t="str">
        <f t="shared" si="7"/>
        <v/>
      </c>
    </row>
    <row r="116" spans="1:8">
      <c r="B116" s="166" t="s">
        <v>21</v>
      </c>
      <c r="C116" s="166" t="s">
        <v>152</v>
      </c>
      <c r="D116" s="164" t="s">
        <v>151</v>
      </c>
      <c r="E116" s="166" t="s">
        <v>155</v>
      </c>
      <c r="F116" s="166" t="s">
        <v>158</v>
      </c>
      <c r="G116" s="166" t="str">
        <f t="shared" si="6"/>
        <v/>
      </c>
      <c r="H116" s="245" t="str">
        <f t="shared" si="7"/>
        <v/>
      </c>
    </row>
    <row r="117" spans="1:8">
      <c r="B117" s="166" t="s">
        <v>21</v>
      </c>
      <c r="C117" s="166" t="s">
        <v>152</v>
      </c>
      <c r="D117" s="164" t="s">
        <v>151</v>
      </c>
      <c r="E117" s="166" t="s">
        <v>155</v>
      </c>
      <c r="F117" s="166" t="s">
        <v>159</v>
      </c>
      <c r="G117" s="166" t="str">
        <f t="shared" si="6"/>
        <v/>
      </c>
      <c r="H117" s="245" t="str">
        <f t="shared" si="7"/>
        <v/>
      </c>
    </row>
    <row r="118" spans="1:8">
      <c r="B118" s="166" t="s">
        <v>21</v>
      </c>
      <c r="C118" s="166" t="s">
        <v>152</v>
      </c>
      <c r="D118" s="164" t="s">
        <v>151</v>
      </c>
      <c r="E118" s="166" t="s">
        <v>156</v>
      </c>
      <c r="F118" s="166" t="s">
        <v>158</v>
      </c>
      <c r="G118" s="166" t="str">
        <f t="shared" si="6"/>
        <v/>
      </c>
      <c r="H118" s="245" t="str">
        <f t="shared" si="7"/>
        <v/>
      </c>
    </row>
    <row r="119" spans="1:8">
      <c r="B119" s="168" t="s">
        <v>21</v>
      </c>
      <c r="C119" s="168" t="s">
        <v>152</v>
      </c>
      <c r="D119" s="169" t="s">
        <v>151</v>
      </c>
      <c r="E119" s="168" t="s">
        <v>156</v>
      </c>
      <c r="F119" s="168" t="s">
        <v>159</v>
      </c>
      <c r="G119" s="168" t="str">
        <f t="shared" si="6"/>
        <v/>
      </c>
      <c r="H119" s="246" t="str">
        <f t="shared" si="7"/>
        <v/>
      </c>
    </row>
    <row r="122" spans="1:8" ht="14.4">
      <c r="A122" s="243" t="s">
        <v>183</v>
      </c>
      <c r="B122" s="241"/>
      <c r="C122" s="241"/>
      <c r="D122" s="241"/>
      <c r="E122" s="241"/>
      <c r="F122" s="241"/>
      <c r="G122" s="241"/>
    </row>
    <row r="124" spans="1:8">
      <c r="B124" s="77" t="s">
        <v>213</v>
      </c>
    </row>
    <row r="125" spans="1:8">
      <c r="B125" s="77"/>
      <c r="C125" s="77" t="s">
        <v>212</v>
      </c>
    </row>
    <row r="127" spans="1:8">
      <c r="B127" s="64" t="s">
        <v>184</v>
      </c>
    </row>
    <row r="128" spans="1:8">
      <c r="B128" s="77" t="s">
        <v>216</v>
      </c>
    </row>
    <row r="129" spans="2:7" ht="13.8">
      <c r="B129" s="77"/>
      <c r="C129" s="240" t="s">
        <v>201</v>
      </c>
      <c r="D129" s="241"/>
      <c r="E129" s="241"/>
      <c r="F129" s="241"/>
      <c r="G129" s="241"/>
    </row>
    <row r="130" spans="2:7" ht="13.8">
      <c r="B130" s="77"/>
      <c r="C130" s="240" t="s">
        <v>198</v>
      </c>
      <c r="D130" s="241"/>
      <c r="E130" s="241"/>
      <c r="F130" s="241"/>
      <c r="G130" s="241"/>
    </row>
    <row r="131" spans="2:7" ht="13.8">
      <c r="B131" s="77"/>
      <c r="C131" s="240" t="s">
        <v>199</v>
      </c>
      <c r="D131" s="241"/>
      <c r="E131" s="241"/>
      <c r="F131" s="241"/>
      <c r="G131" s="241"/>
    </row>
    <row r="132" spans="2:7">
      <c r="B132" s="77"/>
    </row>
    <row r="133" spans="2:7">
      <c r="B133" s="77" t="s">
        <v>217</v>
      </c>
    </row>
    <row r="134" spans="2:7">
      <c r="B134" s="77" t="s">
        <v>191</v>
      </c>
    </row>
    <row r="135" spans="2:7" ht="13.8">
      <c r="B135" s="77"/>
      <c r="C135" s="240" t="s">
        <v>223</v>
      </c>
      <c r="D135" s="240"/>
      <c r="E135" s="240"/>
      <c r="F135" s="240"/>
      <c r="G135" s="241"/>
    </row>
    <row r="136" spans="2:7" ht="13.8">
      <c r="B136" s="77"/>
      <c r="C136" s="240" t="s">
        <v>222</v>
      </c>
      <c r="D136" s="241"/>
      <c r="E136" s="241"/>
      <c r="F136" s="241"/>
      <c r="G136" s="241"/>
    </row>
    <row r="137" spans="2:7">
      <c r="B137" s="77"/>
    </row>
    <row r="138" spans="2:7">
      <c r="B138" s="77" t="s">
        <v>192</v>
      </c>
    </row>
    <row r="139" spans="2:7">
      <c r="B139" s="77"/>
      <c r="C139" s="77" t="s">
        <v>225</v>
      </c>
    </row>
    <row r="140" spans="2:7">
      <c r="B140" s="77"/>
      <c r="C140" s="263" t="s">
        <v>226</v>
      </c>
    </row>
    <row r="141" spans="2:7">
      <c r="B141" s="77"/>
      <c r="C141" s="77" t="s">
        <v>227</v>
      </c>
    </row>
    <row r="142" spans="2:7">
      <c r="B142" s="77"/>
      <c r="C142" s="263" t="s">
        <v>228</v>
      </c>
    </row>
    <row r="143" spans="2:7">
      <c r="B143" s="77"/>
      <c r="C143" s="77" t="s">
        <v>229</v>
      </c>
    </row>
    <row r="144" spans="2:7">
      <c r="B144" s="77"/>
      <c r="C144" s="77" t="s">
        <v>230</v>
      </c>
    </row>
    <row r="145" spans="1:7">
      <c r="B145" s="77"/>
      <c r="C145" s="77"/>
    </row>
    <row r="146" spans="1:7">
      <c r="B146" s="77"/>
      <c r="C146" s="77" t="s">
        <v>231</v>
      </c>
    </row>
    <row r="147" spans="1:7" ht="13.8">
      <c r="C147" s="240" t="s">
        <v>200</v>
      </c>
      <c r="D147" s="241"/>
      <c r="E147" s="241"/>
      <c r="F147" s="241"/>
      <c r="G147" s="241"/>
    </row>
    <row r="148" spans="1:7" ht="13.8">
      <c r="C148" s="240" t="s">
        <v>198</v>
      </c>
      <c r="D148" s="241"/>
      <c r="E148" s="241"/>
      <c r="F148" s="241"/>
      <c r="G148" s="241"/>
    </row>
    <row r="149" spans="1:7" ht="13.8">
      <c r="C149" s="240" t="s">
        <v>199</v>
      </c>
      <c r="D149" s="241"/>
      <c r="E149" s="241"/>
      <c r="F149" s="241"/>
      <c r="G149" s="241"/>
    </row>
    <row r="150" spans="1:7" ht="15.6">
      <c r="A150" s="92"/>
    </row>
    <row r="151" spans="1:7" ht="15.6">
      <c r="A151" s="92"/>
      <c r="C151" s="77" t="s">
        <v>232</v>
      </c>
    </row>
    <row r="152" spans="1:7" ht="15.6">
      <c r="A152" s="92"/>
      <c r="C152" s="240" t="s">
        <v>233</v>
      </c>
      <c r="D152" s="241"/>
      <c r="E152" s="241"/>
      <c r="F152" s="241"/>
      <c r="G152" s="241"/>
    </row>
    <row r="153" spans="1:7" ht="15.6">
      <c r="A153" s="92"/>
      <c r="C153" s="240" t="s">
        <v>223</v>
      </c>
      <c r="D153" s="241"/>
      <c r="E153" s="241"/>
      <c r="F153" s="241"/>
      <c r="G153" s="241"/>
    </row>
    <row r="154" spans="1:7" ht="15.6">
      <c r="A154" s="92"/>
      <c r="C154" s="240" t="s">
        <v>240</v>
      </c>
      <c r="D154" s="241"/>
      <c r="E154" s="241"/>
      <c r="F154" s="241"/>
      <c r="G154" s="241"/>
    </row>
    <row r="155" spans="1:7" ht="15.6">
      <c r="A155" s="92"/>
      <c r="C155" s="240" t="s">
        <v>198</v>
      </c>
      <c r="D155" s="241"/>
      <c r="E155" s="241"/>
      <c r="F155" s="241"/>
      <c r="G155" s="241"/>
    </row>
    <row r="156" spans="1:7" ht="15.6">
      <c r="A156" s="92"/>
      <c r="C156" s="240" t="s">
        <v>242</v>
      </c>
      <c r="D156" s="241"/>
      <c r="E156" s="241"/>
      <c r="F156" s="241"/>
      <c r="G156" s="241"/>
    </row>
    <row r="157" spans="1:7" ht="15.6">
      <c r="A157" s="92"/>
    </row>
    <row r="158" spans="1:7" ht="15.6">
      <c r="A158" s="92"/>
    </row>
    <row r="159" spans="1:7" ht="15.6">
      <c r="A159" s="92"/>
      <c r="B159" s="77" t="s">
        <v>250</v>
      </c>
    </row>
    <row r="160" spans="1:7" ht="15.6">
      <c r="A160" s="92"/>
      <c r="C160" s="240" t="s">
        <v>241</v>
      </c>
      <c r="D160" s="240"/>
      <c r="E160" s="240"/>
      <c r="F160" s="240"/>
      <c r="G160" s="240"/>
    </row>
    <row r="161" spans="1:7" ht="13.8">
      <c r="C161" s="240" t="s">
        <v>255</v>
      </c>
      <c r="D161" s="240"/>
      <c r="E161" s="240"/>
      <c r="F161" s="240"/>
      <c r="G161" s="240"/>
    </row>
    <row r="162" spans="1:7" ht="13.8">
      <c r="C162" s="240" t="s">
        <v>256</v>
      </c>
      <c r="D162" s="240"/>
      <c r="E162" s="240"/>
      <c r="F162" s="240"/>
      <c r="G162" s="240"/>
    </row>
    <row r="164" spans="1:7">
      <c r="A164" s="264" t="s">
        <v>249</v>
      </c>
    </row>
  </sheetData>
  <sheetProtection sheet="1" objects="1" scenarios="1" formatCells="0"/>
  <mergeCells count="5">
    <mergeCell ref="C2:F2"/>
    <mergeCell ref="C3:F3"/>
    <mergeCell ref="F6:G6"/>
    <mergeCell ref="F7:G7"/>
    <mergeCell ref="F8:G8"/>
  </mergeCells>
  <phoneticPr fontId="8" type="noConversion"/>
  <hyperlinks>
    <hyperlink ref="A164" r:id="rId1"/>
  </hyperlinks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360" r:id="rId2"/>
  <headerFooter alignWithMargins="0">
    <oddHeader>&amp;A</oddHeader>
    <oddFooter>Page &amp;P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C260"/>
  <sheetViews>
    <sheetView zoomScale="85" zoomScaleNormal="85" workbookViewId="0">
      <selection activeCell="C2" sqref="C2:F3"/>
    </sheetView>
  </sheetViews>
  <sheetFormatPr baseColWidth="10" defaultRowHeight="13.2"/>
  <cols>
    <col min="1" max="1" width="16.109375" style="54" customWidth="1"/>
    <col min="2" max="2" width="13.33203125" style="54" customWidth="1"/>
    <col min="3" max="5" width="11.5546875" style="54"/>
    <col min="6" max="7" width="14.5546875" style="54" customWidth="1"/>
    <col min="8" max="8" width="19.21875" style="54" customWidth="1"/>
    <col min="9" max="9" width="14.77734375" style="54" customWidth="1"/>
    <col min="10" max="13" width="12.5546875" style="54" customWidth="1"/>
    <col min="14" max="15" width="7.33203125" style="54" customWidth="1"/>
    <col min="16" max="16" width="7" style="54" customWidth="1"/>
    <col min="17" max="17" width="7.33203125" style="54" customWidth="1"/>
    <col min="18" max="18" width="6.6640625" style="54" customWidth="1"/>
    <col min="19" max="19" width="7" style="54" customWidth="1"/>
    <col min="20" max="20" width="7.109375" style="54" customWidth="1"/>
    <col min="21" max="21" width="6.33203125" style="54" customWidth="1"/>
    <col min="22" max="22" width="6.6640625" style="54" customWidth="1"/>
    <col min="23" max="23" width="7.33203125" style="54" customWidth="1"/>
    <col min="24" max="24" width="7" style="54" customWidth="1"/>
    <col min="25" max="25" width="7.33203125" style="54" customWidth="1"/>
    <col min="26" max="26" width="6.6640625" style="54" customWidth="1"/>
    <col min="27" max="27" width="5.6640625" style="54" customWidth="1"/>
    <col min="28" max="29" width="6.33203125" style="54" customWidth="1"/>
    <col min="30" max="16384" width="11.5546875" style="54"/>
  </cols>
  <sheetData>
    <row r="2" spans="1:29" ht="16.2">
      <c r="C2" s="266" t="s">
        <v>178</v>
      </c>
      <c r="D2" s="266"/>
      <c r="E2" s="266"/>
      <c r="F2" s="266"/>
    </row>
    <row r="3" spans="1:29" ht="16.2">
      <c r="C3" s="266" t="s">
        <v>163</v>
      </c>
      <c r="D3" s="266"/>
      <c r="E3" s="266"/>
      <c r="F3" s="266"/>
    </row>
    <row r="4" spans="1:29" ht="13.8" thickBot="1"/>
    <row r="5" spans="1:29" ht="14.4" thickBot="1">
      <c r="A5" s="49" t="s">
        <v>6</v>
      </c>
      <c r="B5" s="2"/>
      <c r="C5" s="2"/>
      <c r="D5" s="22"/>
      <c r="E5" s="53"/>
      <c r="F5" s="53"/>
    </row>
    <row r="6" spans="1:29" ht="15.6">
      <c r="A6" s="3"/>
      <c r="B6" s="4" t="s">
        <v>7</v>
      </c>
      <c r="C6" s="4" t="s">
        <v>8</v>
      </c>
      <c r="D6" s="23" t="s">
        <v>9</v>
      </c>
      <c r="E6" s="56"/>
      <c r="F6" s="257" t="s">
        <v>10</v>
      </c>
      <c r="G6" s="258"/>
      <c r="P6" s="54" t="str">
        <f>C7</f>
        <v>A bas</v>
      </c>
      <c r="Q6" s="54" t="str">
        <f>D7</f>
        <v>A haut</v>
      </c>
      <c r="R6" s="54" t="s">
        <v>55</v>
      </c>
      <c r="S6" s="57" t="str">
        <f>C8</f>
        <v>B inf</v>
      </c>
      <c r="T6" s="57" t="str">
        <f>D8</f>
        <v>B sup</v>
      </c>
      <c r="U6" s="54" t="s">
        <v>55</v>
      </c>
      <c r="V6" s="57" t="str">
        <f>C9</f>
        <v>C bas</v>
      </c>
      <c r="W6" s="57" t="str">
        <f>D9</f>
        <v>C haut</v>
      </c>
      <c r="X6" s="54" t="s">
        <v>55</v>
      </c>
      <c r="Y6" s="57" t="str">
        <f>C10</f>
        <v>D faible</v>
      </c>
      <c r="Z6" s="57" t="str">
        <f>D10</f>
        <v>D fort</v>
      </c>
      <c r="AA6" s="54" t="s">
        <v>55</v>
      </c>
      <c r="AB6" s="57" t="str">
        <f>C11</f>
        <v>E inf</v>
      </c>
      <c r="AC6" s="57" t="str">
        <f>D11</f>
        <v>E sup</v>
      </c>
    </row>
    <row r="7" spans="1:29" ht="15.6">
      <c r="A7" s="50" t="s">
        <v>11</v>
      </c>
      <c r="B7" s="139" t="s">
        <v>0</v>
      </c>
      <c r="C7" s="140" t="s">
        <v>56</v>
      </c>
      <c r="D7" s="201" t="s">
        <v>57</v>
      </c>
      <c r="F7" s="259" t="s">
        <v>143</v>
      </c>
      <c r="G7" s="260"/>
      <c r="P7" s="54" t="str">
        <f>B7</f>
        <v>A</v>
      </c>
      <c r="Q7" s="54" t="str">
        <f>B7</f>
        <v>A</v>
      </c>
      <c r="S7" s="57" t="str">
        <f>B8</f>
        <v>B</v>
      </c>
      <c r="T7" s="57" t="str">
        <f>B8</f>
        <v>B</v>
      </c>
      <c r="V7" s="57" t="str">
        <f>B9</f>
        <v>C</v>
      </c>
      <c r="W7" s="57" t="str">
        <f>B9</f>
        <v>C</v>
      </c>
      <c r="Y7" s="57" t="str">
        <f>B10</f>
        <v>D</v>
      </c>
      <c r="Z7" s="57" t="str">
        <f>B10</f>
        <v>D</v>
      </c>
      <c r="AB7" s="57" t="str">
        <f>B11</f>
        <v>E</v>
      </c>
      <c r="AC7" s="57" t="str">
        <f>B11</f>
        <v>E</v>
      </c>
    </row>
    <row r="8" spans="1:29" ht="16.2" thickBot="1">
      <c r="A8" s="50" t="s">
        <v>12</v>
      </c>
      <c r="B8" s="139" t="s">
        <v>1</v>
      </c>
      <c r="C8" s="140" t="s">
        <v>58</v>
      </c>
      <c r="D8" s="201" t="s">
        <v>59</v>
      </c>
      <c r="F8" s="261" t="s">
        <v>13</v>
      </c>
      <c r="G8" s="262"/>
      <c r="O8" s="54" t="s">
        <v>30</v>
      </c>
      <c r="P8" s="58">
        <f>B50+C50</f>
        <v>148.25</v>
      </c>
      <c r="Q8" s="58">
        <f>B50+C51</f>
        <v>151.125</v>
      </c>
      <c r="S8" s="58">
        <f>B50+D50</f>
        <v>137.1875</v>
      </c>
      <c r="T8" s="58">
        <f>B50+D51</f>
        <v>162.1875</v>
      </c>
      <c r="V8" s="58">
        <f>B50+E50</f>
        <v>174.53125</v>
      </c>
      <c r="W8" s="58">
        <f>B50+E51</f>
        <v>124.84375</v>
      </c>
      <c r="Y8" s="58">
        <f>B50+F50</f>
        <v>153.15625</v>
      </c>
      <c r="Z8" s="58">
        <f>B50+F51</f>
        <v>146.21875</v>
      </c>
      <c r="AB8" s="58">
        <f>B50+G50</f>
        <v>131.5</v>
      </c>
      <c r="AC8" s="58">
        <f>B50+G51</f>
        <v>167.875</v>
      </c>
    </row>
    <row r="9" spans="1:29">
      <c r="A9" s="50" t="s">
        <v>29</v>
      </c>
      <c r="B9" s="139" t="s">
        <v>2</v>
      </c>
      <c r="C9" s="140" t="s">
        <v>144</v>
      </c>
      <c r="D9" s="237" t="s">
        <v>145</v>
      </c>
      <c r="O9" s="54" t="s">
        <v>22</v>
      </c>
      <c r="P9" s="58">
        <f>B50</f>
        <v>149.6875</v>
      </c>
      <c r="Q9" s="58">
        <f>B50</f>
        <v>149.6875</v>
      </c>
      <c r="R9" s="58">
        <f>B50</f>
        <v>149.6875</v>
      </c>
      <c r="S9" s="58">
        <f>B50</f>
        <v>149.6875</v>
      </c>
      <c r="T9" s="58">
        <f>B50</f>
        <v>149.6875</v>
      </c>
      <c r="U9" s="58">
        <f>B50</f>
        <v>149.6875</v>
      </c>
      <c r="V9" s="58">
        <f>B50</f>
        <v>149.6875</v>
      </c>
      <c r="W9" s="58">
        <f>B50</f>
        <v>149.6875</v>
      </c>
      <c r="X9" s="58">
        <f>B50</f>
        <v>149.6875</v>
      </c>
      <c r="Y9" s="58">
        <f>B50</f>
        <v>149.6875</v>
      </c>
      <c r="Z9" s="58">
        <f>B50</f>
        <v>149.6875</v>
      </c>
      <c r="AA9" s="58">
        <f>B50</f>
        <v>149.6875</v>
      </c>
      <c r="AB9" s="58">
        <f>B50</f>
        <v>149.6875</v>
      </c>
      <c r="AC9" s="58">
        <f>B50</f>
        <v>149.6875</v>
      </c>
    </row>
    <row r="10" spans="1:29">
      <c r="A10" s="50" t="s">
        <v>32</v>
      </c>
      <c r="B10" s="139" t="s">
        <v>3</v>
      </c>
      <c r="C10" s="140" t="s">
        <v>146</v>
      </c>
      <c r="D10" s="237" t="s">
        <v>147</v>
      </c>
    </row>
    <row r="11" spans="1:29" ht="13.8" thickBot="1">
      <c r="A11" s="52" t="s">
        <v>36</v>
      </c>
      <c r="B11" s="202" t="s">
        <v>4</v>
      </c>
      <c r="C11" s="202" t="s">
        <v>64</v>
      </c>
      <c r="D11" s="203" t="s">
        <v>65</v>
      </c>
      <c r="H11" s="59" t="s">
        <v>142</v>
      </c>
    </row>
    <row r="12" spans="1:29">
      <c r="H12" s="60"/>
      <c r="I12" s="61"/>
      <c r="J12" s="61"/>
      <c r="K12" s="61"/>
    </row>
    <row r="13" spans="1:29" ht="13.8">
      <c r="A13" s="10" t="s">
        <v>15</v>
      </c>
      <c r="B13" s="11" t="str">
        <f>B7</f>
        <v>A</v>
      </c>
      <c r="C13" s="11" t="str">
        <f>B8</f>
        <v>B</v>
      </c>
      <c r="D13" s="11" t="str">
        <f>B9</f>
        <v>C</v>
      </c>
      <c r="E13" s="11" t="str">
        <f>B10</f>
        <v>D</v>
      </c>
      <c r="F13" s="11" t="str">
        <f>B11</f>
        <v>E</v>
      </c>
      <c r="G13" s="10" t="s">
        <v>16</v>
      </c>
      <c r="H13" s="135" t="s">
        <v>17</v>
      </c>
      <c r="I13" s="135" t="s">
        <v>18</v>
      </c>
      <c r="J13" s="135" t="s">
        <v>19</v>
      </c>
      <c r="K13" s="135" t="s">
        <v>20</v>
      </c>
      <c r="L13" s="135" t="s">
        <v>21</v>
      </c>
      <c r="M13" s="62"/>
    </row>
    <row r="14" spans="1:29" ht="13.8">
      <c r="A14" s="136">
        <v>1</v>
      </c>
      <c r="B14" s="137" t="str">
        <f>C$7</f>
        <v>A bas</v>
      </c>
      <c r="C14" s="137" t="str">
        <f>C8</f>
        <v>B inf</v>
      </c>
      <c r="D14" s="137" t="str">
        <f>C$9</f>
        <v>C bas</v>
      </c>
      <c r="E14" s="137" t="str">
        <f>C$10</f>
        <v>D faible</v>
      </c>
      <c r="F14" s="137" t="str">
        <f>C$11</f>
        <v>E inf</v>
      </c>
      <c r="G14" s="4">
        <f t="shared" ref="G14:G45" si="0">MEDIAN(H14:L14)</f>
        <v>94.5</v>
      </c>
      <c r="H14" s="9">
        <v>90</v>
      </c>
      <c r="I14" s="9">
        <v>99</v>
      </c>
      <c r="J14" s="9"/>
      <c r="K14" s="9"/>
      <c r="L14" s="9"/>
      <c r="M14" s="62"/>
    </row>
    <row r="15" spans="1:29" ht="13.8">
      <c r="A15" s="136">
        <v>2</v>
      </c>
      <c r="B15" s="138" t="str">
        <f t="shared" ref="B15:B29" si="1">C$7</f>
        <v>A bas</v>
      </c>
      <c r="C15" s="137" t="str">
        <f>C8</f>
        <v>B inf</v>
      </c>
      <c r="D15" s="137" t="str">
        <f t="shared" ref="D15:D17" si="2">C$9</f>
        <v>C bas</v>
      </c>
      <c r="E15" s="137" t="str">
        <f>C$10</f>
        <v>D faible</v>
      </c>
      <c r="F15" s="137" t="str">
        <f>D$11</f>
        <v>E sup</v>
      </c>
      <c r="G15" s="4">
        <f t="shared" si="0"/>
        <v>190.5</v>
      </c>
      <c r="H15" s="9">
        <v>190</v>
      </c>
      <c r="I15" s="9">
        <v>191</v>
      </c>
      <c r="J15" s="9"/>
      <c r="K15" s="9"/>
      <c r="L15" s="9"/>
      <c r="M15" s="62"/>
    </row>
    <row r="16" spans="1:29" ht="13.8">
      <c r="A16" s="136">
        <v>3</v>
      </c>
      <c r="B16" s="138" t="str">
        <f t="shared" si="1"/>
        <v>A bas</v>
      </c>
      <c r="C16" s="137" t="str">
        <f>C$8</f>
        <v>B inf</v>
      </c>
      <c r="D16" s="137" t="str">
        <f t="shared" si="2"/>
        <v>C bas</v>
      </c>
      <c r="E16" s="137" t="str">
        <f>D$10</f>
        <v>D fort</v>
      </c>
      <c r="F16" s="137" t="str">
        <f>C$11</f>
        <v>E inf</v>
      </c>
      <c r="G16" s="4">
        <f t="shared" si="0"/>
        <v>154</v>
      </c>
      <c r="H16" s="9">
        <v>150</v>
      </c>
      <c r="I16" s="9">
        <v>158</v>
      </c>
      <c r="J16" s="9"/>
      <c r="K16" s="9"/>
      <c r="L16" s="9"/>
      <c r="M16" s="62"/>
    </row>
    <row r="17" spans="1:25" ht="13.8">
      <c r="A17" s="136">
        <v>4</v>
      </c>
      <c r="B17" s="138" t="str">
        <f t="shared" si="1"/>
        <v>A bas</v>
      </c>
      <c r="C17" s="137" t="str">
        <f t="shared" ref="C17:C21" si="3">C$8</f>
        <v>B inf</v>
      </c>
      <c r="D17" s="137" t="str">
        <f t="shared" si="2"/>
        <v>C bas</v>
      </c>
      <c r="E17" s="137" t="str">
        <f>D$10</f>
        <v>D fort</v>
      </c>
      <c r="F17" s="137" t="str">
        <f>D$11</f>
        <v>E sup</v>
      </c>
      <c r="G17" s="4">
        <f t="shared" si="0"/>
        <v>183</v>
      </c>
      <c r="H17" s="9">
        <v>180</v>
      </c>
      <c r="I17" s="9">
        <v>186</v>
      </c>
      <c r="J17" s="9"/>
      <c r="K17" s="9"/>
      <c r="L17" s="9"/>
      <c r="M17" s="62"/>
    </row>
    <row r="18" spans="1:25" ht="13.8">
      <c r="A18" s="136">
        <v>5</v>
      </c>
      <c r="B18" s="138" t="str">
        <f t="shared" si="1"/>
        <v>A bas</v>
      </c>
      <c r="C18" s="137" t="str">
        <f t="shared" si="3"/>
        <v>B inf</v>
      </c>
      <c r="D18" s="137" t="str">
        <f>D$9</f>
        <v>C haut</v>
      </c>
      <c r="E18" s="137" t="str">
        <f t="shared" ref="E18:E19" si="4">C$10</f>
        <v>D faible</v>
      </c>
      <c r="F18" s="137" t="str">
        <f>C$11</f>
        <v>E inf</v>
      </c>
      <c r="G18" s="4">
        <f t="shared" si="0"/>
        <v>98.5</v>
      </c>
      <c r="H18" s="9">
        <v>102.5</v>
      </c>
      <c r="I18" s="9">
        <v>94.5</v>
      </c>
      <c r="J18" s="9"/>
      <c r="K18" s="9"/>
      <c r="L18" s="9"/>
      <c r="M18" s="62"/>
    </row>
    <row r="19" spans="1:25" ht="13.8">
      <c r="A19" s="136">
        <v>6</v>
      </c>
      <c r="B19" s="138" t="str">
        <f t="shared" si="1"/>
        <v>A bas</v>
      </c>
      <c r="C19" s="137" t="str">
        <f t="shared" si="3"/>
        <v>B inf</v>
      </c>
      <c r="D19" s="137" t="str">
        <f t="shared" ref="D19:D21" si="5">D$9</f>
        <v>C haut</v>
      </c>
      <c r="E19" s="137" t="str">
        <f t="shared" si="4"/>
        <v>D faible</v>
      </c>
      <c r="F19" s="137" t="str">
        <f>D$11</f>
        <v>E sup</v>
      </c>
      <c r="G19" s="4">
        <f t="shared" si="0"/>
        <v>138</v>
      </c>
      <c r="H19" s="9">
        <v>135</v>
      </c>
      <c r="I19" s="9">
        <v>141</v>
      </c>
      <c r="J19" s="9"/>
      <c r="K19" s="9"/>
      <c r="L19" s="9"/>
      <c r="M19" s="62"/>
      <c r="O19" s="58"/>
      <c r="W19" s="58"/>
      <c r="X19" s="58"/>
      <c r="Y19" s="58"/>
    </row>
    <row r="20" spans="1:25" ht="13.8">
      <c r="A20" s="136">
        <v>7</v>
      </c>
      <c r="B20" s="138" t="str">
        <f t="shared" si="1"/>
        <v>A bas</v>
      </c>
      <c r="C20" s="137" t="str">
        <f t="shared" si="3"/>
        <v>B inf</v>
      </c>
      <c r="D20" s="137" t="str">
        <f t="shared" si="5"/>
        <v>C haut</v>
      </c>
      <c r="E20" s="137" t="str">
        <f t="shared" ref="E20:E21" si="6">D$10</f>
        <v>D fort</v>
      </c>
      <c r="F20" s="137" t="str">
        <f>C$11</f>
        <v>E inf</v>
      </c>
      <c r="G20" s="4">
        <f t="shared" si="0"/>
        <v>91</v>
      </c>
      <c r="H20" s="9">
        <v>90</v>
      </c>
      <c r="I20" s="9">
        <v>92</v>
      </c>
      <c r="J20" s="9"/>
      <c r="K20" s="9"/>
      <c r="L20" s="9"/>
      <c r="M20" s="62"/>
    </row>
    <row r="21" spans="1:25" ht="13.8">
      <c r="A21" s="136">
        <v>8</v>
      </c>
      <c r="B21" s="138" t="str">
        <f t="shared" si="1"/>
        <v>A bas</v>
      </c>
      <c r="C21" s="137" t="str">
        <f t="shared" si="3"/>
        <v>B inf</v>
      </c>
      <c r="D21" s="137" t="str">
        <f t="shared" si="5"/>
        <v>C haut</v>
      </c>
      <c r="E21" s="137" t="str">
        <f t="shared" si="6"/>
        <v>D fort</v>
      </c>
      <c r="F21" s="137" t="str">
        <f>D$11</f>
        <v>E sup</v>
      </c>
      <c r="G21" s="4">
        <f t="shared" si="0"/>
        <v>122.5</v>
      </c>
      <c r="H21" s="9">
        <v>127.5</v>
      </c>
      <c r="I21" s="9">
        <v>117.5</v>
      </c>
      <c r="J21" s="9"/>
      <c r="K21" s="9"/>
      <c r="L21" s="9"/>
      <c r="M21" s="62"/>
      <c r="P21" s="57" t="str">
        <f>B7</f>
        <v>A</v>
      </c>
      <c r="Q21" s="57" t="str">
        <f>B7</f>
        <v>A</v>
      </c>
      <c r="R21" s="64" t="s">
        <v>33</v>
      </c>
    </row>
    <row r="22" spans="1:25" ht="13.8">
      <c r="A22" s="136">
        <v>9</v>
      </c>
      <c r="B22" s="138" t="str">
        <f t="shared" si="1"/>
        <v>A bas</v>
      </c>
      <c r="C22" s="137" t="str">
        <f>D$8</f>
        <v>B sup</v>
      </c>
      <c r="D22" s="137" t="str">
        <f t="shared" ref="D22:D25" si="7">C$9</f>
        <v>C bas</v>
      </c>
      <c r="E22" s="137" t="str">
        <f t="shared" ref="E22:E23" si="8">C$10</f>
        <v>D faible</v>
      </c>
      <c r="F22" s="137" t="str">
        <f>C$11</f>
        <v>E inf</v>
      </c>
      <c r="G22" s="4">
        <f t="shared" si="0"/>
        <v>178</v>
      </c>
      <c r="H22" s="9">
        <v>177.5</v>
      </c>
      <c r="I22" s="9">
        <v>178.5</v>
      </c>
      <c r="J22" s="9"/>
      <c r="K22" s="9"/>
      <c r="L22" s="9"/>
      <c r="M22" s="62"/>
      <c r="P22" s="57" t="str">
        <f>C7</f>
        <v>A bas</v>
      </c>
      <c r="Q22" s="57" t="str">
        <f>D7</f>
        <v>A haut</v>
      </c>
    </row>
    <row r="23" spans="1:25" ht="13.8">
      <c r="A23" s="136">
        <v>10</v>
      </c>
      <c r="B23" s="138" t="str">
        <f t="shared" si="1"/>
        <v>A bas</v>
      </c>
      <c r="C23" s="137" t="str">
        <f t="shared" ref="C23:C29" si="9">D$8</f>
        <v>B sup</v>
      </c>
      <c r="D23" s="137" t="str">
        <f t="shared" si="7"/>
        <v>C bas</v>
      </c>
      <c r="E23" s="137" t="str">
        <f t="shared" si="8"/>
        <v>D faible</v>
      </c>
      <c r="F23" s="137" t="str">
        <f>D$11</f>
        <v>E sup</v>
      </c>
      <c r="G23" s="4">
        <f t="shared" si="0"/>
        <v>215</v>
      </c>
      <c r="H23" s="9">
        <v>210</v>
      </c>
      <c r="I23" s="9">
        <v>220</v>
      </c>
      <c r="J23" s="9"/>
      <c r="K23" s="9"/>
      <c r="L23" s="9"/>
      <c r="M23" s="62"/>
      <c r="N23" s="57" t="str">
        <f>C8</f>
        <v>B inf</v>
      </c>
      <c r="O23" s="57" t="str">
        <f>B8</f>
        <v>B</v>
      </c>
      <c r="P23" s="65">
        <f>(G14+G15+G16+G17+G18+G19+G20+G21)/8</f>
        <v>134</v>
      </c>
      <c r="Q23" s="65">
        <f>(G30+G31+G32+G33+G34+G35+G36+G37)/8</f>
        <v>140.375</v>
      </c>
    </row>
    <row r="24" spans="1:25" ht="13.8">
      <c r="A24" s="136">
        <v>11</v>
      </c>
      <c r="B24" s="138" t="str">
        <f t="shared" si="1"/>
        <v>A bas</v>
      </c>
      <c r="C24" s="137" t="str">
        <f t="shared" si="9"/>
        <v>B sup</v>
      </c>
      <c r="D24" s="137" t="str">
        <f t="shared" si="7"/>
        <v>C bas</v>
      </c>
      <c r="E24" s="137" t="str">
        <f t="shared" ref="E24:E25" si="10">D$10</f>
        <v>D fort</v>
      </c>
      <c r="F24" s="137" t="str">
        <f>C$11</f>
        <v>E inf</v>
      </c>
      <c r="G24" s="4">
        <f t="shared" si="0"/>
        <v>166.5</v>
      </c>
      <c r="H24" s="9">
        <v>162.5</v>
      </c>
      <c r="I24" s="9">
        <v>170.5</v>
      </c>
      <c r="J24" s="9"/>
      <c r="K24" s="9"/>
      <c r="L24" s="9"/>
      <c r="M24" s="62"/>
      <c r="N24" s="57" t="str">
        <f>D8</f>
        <v>B sup</v>
      </c>
      <c r="O24" s="57" t="str">
        <f>B8</f>
        <v>B</v>
      </c>
      <c r="P24" s="65">
        <f>(G22+G23+G24+G25+G26+G27+G28+G29)/8</f>
        <v>162.5</v>
      </c>
      <c r="Q24" s="65">
        <f>(G38+G39+G40+G41+G42+G43+G44+G45)/8</f>
        <v>161.875</v>
      </c>
    </row>
    <row r="25" spans="1:25" ht="13.8">
      <c r="A25" s="136">
        <v>12</v>
      </c>
      <c r="B25" s="138" t="str">
        <f t="shared" si="1"/>
        <v>A bas</v>
      </c>
      <c r="C25" s="137" t="str">
        <f t="shared" si="9"/>
        <v>B sup</v>
      </c>
      <c r="D25" s="137" t="str">
        <f t="shared" si="7"/>
        <v>C bas</v>
      </c>
      <c r="E25" s="137" t="str">
        <f t="shared" si="10"/>
        <v>D fort</v>
      </c>
      <c r="F25" s="137" t="str">
        <f>D$11</f>
        <v>E sup</v>
      </c>
      <c r="G25" s="4">
        <f t="shared" si="0"/>
        <v>196.5</v>
      </c>
      <c r="H25" s="9">
        <v>195</v>
      </c>
      <c r="I25" s="9">
        <v>198</v>
      </c>
      <c r="J25" s="9"/>
      <c r="K25" s="9"/>
      <c r="L25" s="9"/>
      <c r="M25" s="62"/>
      <c r="N25" s="57" t="s">
        <v>55</v>
      </c>
      <c r="O25" s="57"/>
      <c r="P25" s="65"/>
      <c r="Q25" s="65"/>
    </row>
    <row r="26" spans="1:25" ht="13.8">
      <c r="A26" s="136">
        <v>13</v>
      </c>
      <c r="B26" s="138" t="str">
        <f t="shared" si="1"/>
        <v>A bas</v>
      </c>
      <c r="C26" s="137" t="str">
        <f t="shared" si="9"/>
        <v>B sup</v>
      </c>
      <c r="D26" s="137" t="str">
        <f t="shared" ref="D26:D29" si="11">D$9</f>
        <v>C haut</v>
      </c>
      <c r="E26" s="137" t="str">
        <f t="shared" ref="E26:E27" si="12">C$10</f>
        <v>D faible</v>
      </c>
      <c r="F26" s="137" t="str">
        <f>C$11</f>
        <v>E inf</v>
      </c>
      <c r="G26" s="4">
        <f t="shared" si="0"/>
        <v>123</v>
      </c>
      <c r="H26" s="9">
        <v>122.5</v>
      </c>
      <c r="I26" s="9">
        <v>123.5</v>
      </c>
      <c r="J26" s="9"/>
      <c r="K26" s="9"/>
      <c r="L26" s="9"/>
      <c r="M26" s="62"/>
      <c r="N26" s="57" t="str">
        <f>C9</f>
        <v>C bas</v>
      </c>
      <c r="O26" s="57" t="str">
        <f>B9</f>
        <v>C</v>
      </c>
      <c r="P26" s="65">
        <f>(G14+G15+G16+G17+G22+G23+G24+G25)/8</f>
        <v>172.25</v>
      </c>
      <c r="Q26" s="65">
        <f>(G30+G31+G32+G33+G38+G39+G40+G41)/8</f>
        <v>176.8125</v>
      </c>
    </row>
    <row r="27" spans="1:25" ht="13.8">
      <c r="A27" s="136">
        <v>14</v>
      </c>
      <c r="B27" s="138" t="str">
        <f t="shared" si="1"/>
        <v>A bas</v>
      </c>
      <c r="C27" s="137" t="str">
        <f t="shared" si="9"/>
        <v>B sup</v>
      </c>
      <c r="D27" s="137" t="str">
        <f t="shared" si="11"/>
        <v>C haut</v>
      </c>
      <c r="E27" s="137" t="str">
        <f t="shared" si="12"/>
        <v>D faible</v>
      </c>
      <c r="F27" s="137" t="str">
        <f>D$11</f>
        <v>E sup</v>
      </c>
      <c r="G27" s="4">
        <f t="shared" si="0"/>
        <v>158.5</v>
      </c>
      <c r="H27" s="9">
        <v>160</v>
      </c>
      <c r="I27" s="9">
        <v>157</v>
      </c>
      <c r="J27" s="9"/>
      <c r="K27" s="9"/>
      <c r="L27" s="9"/>
      <c r="M27" s="62"/>
      <c r="N27" s="57" t="str">
        <f>D9</f>
        <v>C haut</v>
      </c>
      <c r="O27" s="57" t="str">
        <f>B9</f>
        <v>C</v>
      </c>
      <c r="P27" s="65">
        <f>(G18+G19+G20+G21+G26+G27+G28+G29)/8</f>
        <v>124.25</v>
      </c>
      <c r="Q27" s="65">
        <f>(G34+G35+G36+G37+G42+G43+G44+G45)/8</f>
        <v>125.4375</v>
      </c>
    </row>
    <row r="28" spans="1:25" ht="13.8">
      <c r="A28" s="136">
        <v>15</v>
      </c>
      <c r="B28" s="138" t="str">
        <f t="shared" si="1"/>
        <v>A bas</v>
      </c>
      <c r="C28" s="137" t="str">
        <f t="shared" si="9"/>
        <v>B sup</v>
      </c>
      <c r="D28" s="137" t="str">
        <f t="shared" si="11"/>
        <v>C haut</v>
      </c>
      <c r="E28" s="137" t="str">
        <f t="shared" ref="E28:E29" si="13">D$10</f>
        <v>D fort</v>
      </c>
      <c r="F28" s="137" t="str">
        <f>C$11</f>
        <v>E inf</v>
      </c>
      <c r="G28" s="4">
        <f t="shared" si="0"/>
        <v>118.5</v>
      </c>
      <c r="H28" s="9">
        <v>115</v>
      </c>
      <c r="I28" s="9">
        <v>122</v>
      </c>
      <c r="J28" s="9"/>
      <c r="K28" s="9"/>
      <c r="L28" s="9"/>
      <c r="M28" s="62"/>
      <c r="N28" s="57" t="s">
        <v>55</v>
      </c>
      <c r="O28" s="57"/>
      <c r="P28" s="65"/>
      <c r="Q28" s="65"/>
    </row>
    <row r="29" spans="1:25" ht="13.8">
      <c r="A29" s="136">
        <v>16</v>
      </c>
      <c r="B29" s="138" t="str">
        <f t="shared" si="1"/>
        <v>A bas</v>
      </c>
      <c r="C29" s="137" t="str">
        <f t="shared" si="9"/>
        <v>B sup</v>
      </c>
      <c r="D29" s="137" t="str">
        <f t="shared" si="11"/>
        <v>C haut</v>
      </c>
      <c r="E29" s="137" t="str">
        <f t="shared" si="13"/>
        <v>D fort</v>
      </c>
      <c r="F29" s="137" t="str">
        <f>D$11</f>
        <v>E sup</v>
      </c>
      <c r="G29" s="4">
        <f t="shared" si="0"/>
        <v>144</v>
      </c>
      <c r="H29" s="9">
        <v>147.5</v>
      </c>
      <c r="I29" s="9">
        <v>140.5</v>
      </c>
      <c r="J29" s="9"/>
      <c r="K29" s="9"/>
      <c r="L29" s="9"/>
      <c r="M29" s="62"/>
      <c r="N29" s="57" t="str">
        <f>C10</f>
        <v>D faible</v>
      </c>
      <c r="O29" s="57" t="str">
        <f>B10</f>
        <v>D</v>
      </c>
      <c r="P29" s="65">
        <f>(G14+G15+G18+G19+G22+G23+G26+G27)/8</f>
        <v>149.5</v>
      </c>
      <c r="Q29" s="65">
        <f>(G30+G31+G34+G35+G38+G39+G42+G43)/8</f>
        <v>156.8125</v>
      </c>
    </row>
    <row r="30" spans="1:25" ht="13.8">
      <c r="A30" s="136">
        <v>17</v>
      </c>
      <c r="B30" s="138" t="str">
        <f>D$7</f>
        <v>A haut</v>
      </c>
      <c r="C30" s="137" t="str">
        <f t="shared" ref="C30:C37" si="14">C$8</f>
        <v>B inf</v>
      </c>
      <c r="D30" s="137" t="str">
        <f t="shared" ref="D30:D33" si="15">C$9</f>
        <v>C bas</v>
      </c>
      <c r="E30" s="137" t="str">
        <f t="shared" ref="E30:E31" si="16">C$10</f>
        <v>D faible</v>
      </c>
      <c r="F30" s="137" t="str">
        <f>C$11</f>
        <v>E inf</v>
      </c>
      <c r="G30" s="4">
        <f t="shared" si="0"/>
        <v>151.5</v>
      </c>
      <c r="H30" s="9">
        <v>152.5</v>
      </c>
      <c r="I30" s="9">
        <v>150.5</v>
      </c>
      <c r="J30" s="9"/>
      <c r="K30" s="9"/>
      <c r="L30" s="9"/>
      <c r="M30" s="62"/>
      <c r="N30" s="57" t="str">
        <f>D10</f>
        <v>D fort</v>
      </c>
      <c r="O30" s="57" t="str">
        <f>B10</f>
        <v>D</v>
      </c>
      <c r="P30" s="65">
        <f>(G16+G17+G20+G21+G24+G25+G28+G29)/8</f>
        <v>147</v>
      </c>
      <c r="Q30" s="65">
        <f>(G32+G33+G36+G37+G40+G41+G44+G45)/8</f>
        <v>145.4375</v>
      </c>
    </row>
    <row r="31" spans="1:25" ht="13.8">
      <c r="A31" s="136">
        <v>18</v>
      </c>
      <c r="B31" s="138" t="str">
        <f t="shared" ref="B31:B45" si="17">D$7</f>
        <v>A haut</v>
      </c>
      <c r="C31" s="137" t="str">
        <f t="shared" si="14"/>
        <v>B inf</v>
      </c>
      <c r="D31" s="137" t="str">
        <f t="shared" si="15"/>
        <v>C bas</v>
      </c>
      <c r="E31" s="137" t="str">
        <f t="shared" si="16"/>
        <v>D faible</v>
      </c>
      <c r="F31" s="137" t="str">
        <f>D$11</f>
        <v>E sup</v>
      </c>
      <c r="G31" s="4">
        <f t="shared" si="0"/>
        <v>187</v>
      </c>
      <c r="H31" s="9">
        <v>190</v>
      </c>
      <c r="I31" s="9">
        <v>184</v>
      </c>
      <c r="J31" s="9"/>
      <c r="K31" s="9"/>
      <c r="L31" s="9"/>
      <c r="M31" s="62"/>
      <c r="N31" s="57" t="s">
        <v>55</v>
      </c>
      <c r="O31" s="57"/>
      <c r="P31" s="65"/>
      <c r="Q31" s="65"/>
    </row>
    <row r="32" spans="1:25" ht="13.8">
      <c r="A32" s="136">
        <v>19</v>
      </c>
      <c r="B32" s="138" t="str">
        <f t="shared" si="17"/>
        <v>A haut</v>
      </c>
      <c r="C32" s="137" t="str">
        <f t="shared" si="14"/>
        <v>B inf</v>
      </c>
      <c r="D32" s="137" t="str">
        <f t="shared" si="15"/>
        <v>C bas</v>
      </c>
      <c r="E32" s="137" t="str">
        <f t="shared" ref="E32:E33" si="18">D$10</f>
        <v>D fort</v>
      </c>
      <c r="F32" s="137" t="str">
        <f>C$11</f>
        <v>E inf</v>
      </c>
      <c r="G32" s="4">
        <f t="shared" si="0"/>
        <v>153</v>
      </c>
      <c r="H32" s="9">
        <v>151</v>
      </c>
      <c r="I32" s="9">
        <v>155</v>
      </c>
      <c r="J32" s="9"/>
      <c r="K32" s="9"/>
      <c r="L32" s="9"/>
      <c r="M32" s="62"/>
      <c r="N32" s="57" t="str">
        <f>C11</f>
        <v>E inf</v>
      </c>
      <c r="O32" s="57" t="str">
        <f>B11</f>
        <v>E</v>
      </c>
      <c r="P32" s="65">
        <f>(G14+G16+G18+G20+G22+G24+G26+G28)/8</f>
        <v>128</v>
      </c>
      <c r="Q32" s="65">
        <f>(G30+G32+G34+G36+G38+G40+G42+G44)/8</f>
        <v>135</v>
      </c>
    </row>
    <row r="33" spans="1:25" ht="13.8">
      <c r="A33" s="136">
        <v>20</v>
      </c>
      <c r="B33" s="138" t="str">
        <f t="shared" si="17"/>
        <v>A haut</v>
      </c>
      <c r="C33" s="137" t="str">
        <f t="shared" si="14"/>
        <v>B inf</v>
      </c>
      <c r="D33" s="137" t="str">
        <f t="shared" si="15"/>
        <v>C bas</v>
      </c>
      <c r="E33" s="137" t="str">
        <f t="shared" si="18"/>
        <v>D fort</v>
      </c>
      <c r="F33" s="137" t="str">
        <f>D$11</f>
        <v>E sup</v>
      </c>
      <c r="G33" s="4">
        <f t="shared" si="0"/>
        <v>175.5</v>
      </c>
      <c r="H33" s="9">
        <v>180</v>
      </c>
      <c r="I33" s="9">
        <v>171</v>
      </c>
      <c r="J33" s="9"/>
      <c r="K33" s="9"/>
      <c r="L33" s="9"/>
      <c r="M33" s="62"/>
      <c r="N33" s="57" t="str">
        <f>D11</f>
        <v>E sup</v>
      </c>
      <c r="O33" s="57" t="str">
        <f>B11</f>
        <v>E</v>
      </c>
      <c r="P33" s="65">
        <f>(G15+G17+G19+G21+G23+G25+G27+G29)/8</f>
        <v>168.5</v>
      </c>
      <c r="Q33" s="65">
        <f>(G31+G33+G35+G37+G39+G41+G43+G45)/8</f>
        <v>167.25</v>
      </c>
    </row>
    <row r="34" spans="1:25" ht="13.8">
      <c r="A34" s="136">
        <v>21</v>
      </c>
      <c r="B34" s="138" t="str">
        <f t="shared" si="17"/>
        <v>A haut</v>
      </c>
      <c r="C34" s="137" t="str">
        <f t="shared" si="14"/>
        <v>B inf</v>
      </c>
      <c r="D34" s="137" t="str">
        <f t="shared" ref="D34:D37" si="19">D$9</f>
        <v>C haut</v>
      </c>
      <c r="E34" s="137" t="str">
        <f t="shared" ref="E34:E35" si="20">C$10</f>
        <v>D faible</v>
      </c>
      <c r="F34" s="137" t="str">
        <f>C$11</f>
        <v>E inf</v>
      </c>
      <c r="G34" s="4">
        <f t="shared" si="0"/>
        <v>105</v>
      </c>
      <c r="H34" s="9">
        <v>102.5</v>
      </c>
      <c r="I34" s="9">
        <v>107.5</v>
      </c>
      <c r="J34" s="9"/>
      <c r="K34" s="9"/>
      <c r="L34" s="9"/>
      <c r="M34" s="62"/>
    </row>
    <row r="35" spans="1:25" ht="13.8">
      <c r="A35" s="136">
        <v>22</v>
      </c>
      <c r="B35" s="138" t="str">
        <f t="shared" si="17"/>
        <v>A haut</v>
      </c>
      <c r="C35" s="137" t="str">
        <f t="shared" si="14"/>
        <v>B inf</v>
      </c>
      <c r="D35" s="137" t="str">
        <f t="shared" si="19"/>
        <v>C haut</v>
      </c>
      <c r="E35" s="137" t="str">
        <f t="shared" si="20"/>
        <v>D faible</v>
      </c>
      <c r="F35" s="137" t="str">
        <f>D$11</f>
        <v>E sup</v>
      </c>
      <c r="G35" s="4">
        <f t="shared" si="0"/>
        <v>135.5</v>
      </c>
      <c r="H35" s="9">
        <v>132</v>
      </c>
      <c r="I35" s="9">
        <v>139</v>
      </c>
      <c r="J35" s="9"/>
      <c r="K35" s="9"/>
      <c r="L35" s="9"/>
      <c r="M35" s="62"/>
    </row>
    <row r="36" spans="1:25" ht="13.8">
      <c r="A36" s="136">
        <v>23</v>
      </c>
      <c r="B36" s="138" t="str">
        <f t="shared" si="17"/>
        <v>A haut</v>
      </c>
      <c r="C36" s="137" t="str">
        <f t="shared" si="14"/>
        <v>B inf</v>
      </c>
      <c r="D36" s="137" t="str">
        <f t="shared" si="19"/>
        <v>C haut</v>
      </c>
      <c r="E36" s="137" t="str">
        <f t="shared" ref="E36:E37" si="21">D$10</f>
        <v>D fort</v>
      </c>
      <c r="F36" s="137" t="str">
        <f>C$11</f>
        <v>E inf</v>
      </c>
      <c r="G36" s="4">
        <f t="shared" si="0"/>
        <v>91.5</v>
      </c>
      <c r="H36" s="9">
        <v>90</v>
      </c>
      <c r="I36" s="9">
        <v>93</v>
      </c>
      <c r="J36" s="9"/>
      <c r="K36" s="9"/>
      <c r="L36" s="9"/>
      <c r="M36" s="62"/>
      <c r="P36" s="57" t="str">
        <f>B8</f>
        <v>B</v>
      </c>
      <c r="Q36" s="57" t="str">
        <f>B8</f>
        <v>B</v>
      </c>
      <c r="R36" s="64" t="s">
        <v>37</v>
      </c>
    </row>
    <row r="37" spans="1:25" ht="13.8">
      <c r="A37" s="136">
        <v>24</v>
      </c>
      <c r="B37" s="138" t="str">
        <f t="shared" si="17"/>
        <v>A haut</v>
      </c>
      <c r="C37" s="137" t="str">
        <f t="shared" si="14"/>
        <v>B inf</v>
      </c>
      <c r="D37" s="137" t="str">
        <f t="shared" si="19"/>
        <v>C haut</v>
      </c>
      <c r="E37" s="137" t="str">
        <f t="shared" si="21"/>
        <v>D fort</v>
      </c>
      <c r="F37" s="137" t="str">
        <f>D$11</f>
        <v>E sup</v>
      </c>
      <c r="G37" s="4">
        <f t="shared" si="0"/>
        <v>124</v>
      </c>
      <c r="H37" s="9">
        <v>127.5</v>
      </c>
      <c r="I37" s="9">
        <v>120.5</v>
      </c>
      <c r="J37" s="9"/>
      <c r="K37" s="9"/>
      <c r="L37" s="9"/>
      <c r="M37" s="62"/>
      <c r="O37" s="58"/>
      <c r="P37" s="57" t="str">
        <f>C8</f>
        <v>B inf</v>
      </c>
      <c r="Q37" s="57" t="str">
        <f>D8</f>
        <v>B sup</v>
      </c>
      <c r="R37" s="58"/>
      <c r="S37" s="58"/>
      <c r="U37" s="58"/>
      <c r="V37" s="58"/>
      <c r="W37" s="58"/>
      <c r="X37" s="58"/>
      <c r="Y37" s="58"/>
    </row>
    <row r="38" spans="1:25" ht="13.8">
      <c r="A38" s="136">
        <v>25</v>
      </c>
      <c r="B38" s="138" t="str">
        <f t="shared" si="17"/>
        <v>A haut</v>
      </c>
      <c r="C38" s="137" t="str">
        <f t="shared" ref="C38:C45" si="22">D$8</f>
        <v>B sup</v>
      </c>
      <c r="D38" s="137" t="str">
        <f t="shared" ref="D38:D41" si="23">C$9</f>
        <v>C bas</v>
      </c>
      <c r="E38" s="137" t="str">
        <f t="shared" ref="E38:E39" si="24">C$10</f>
        <v>D faible</v>
      </c>
      <c r="F38" s="137" t="str">
        <f>C$11</f>
        <v>E inf</v>
      </c>
      <c r="G38" s="4">
        <f t="shared" si="0"/>
        <v>175.5</v>
      </c>
      <c r="H38" s="9">
        <v>177.5</v>
      </c>
      <c r="I38" s="9">
        <v>173.5</v>
      </c>
      <c r="J38" s="9"/>
      <c r="K38" s="9"/>
      <c r="L38" s="9"/>
      <c r="M38" s="62"/>
      <c r="N38" s="57" t="str">
        <f>C9</f>
        <v>C bas</v>
      </c>
      <c r="O38" s="57" t="str">
        <f>B9</f>
        <v>C</v>
      </c>
      <c r="P38" s="65">
        <f>(G14+G15+G16+G17+G30+G31+G32+G33)/8</f>
        <v>161.125</v>
      </c>
      <c r="Q38" s="65">
        <f>(G22+G23+G24+G25+G38+G39+G40+G41)/8</f>
        <v>187.9375</v>
      </c>
      <c r="R38" s="58"/>
      <c r="S38" s="58"/>
      <c r="T38" s="58"/>
      <c r="U38" s="58"/>
      <c r="V38" s="58"/>
      <c r="W38" s="58"/>
      <c r="X38" s="58"/>
      <c r="Y38" s="58"/>
    </row>
    <row r="39" spans="1:25" ht="13.8">
      <c r="A39" s="136">
        <v>26</v>
      </c>
      <c r="B39" s="138" t="str">
        <f t="shared" si="17"/>
        <v>A haut</v>
      </c>
      <c r="C39" s="137" t="str">
        <f t="shared" si="22"/>
        <v>B sup</v>
      </c>
      <c r="D39" s="137" t="str">
        <f t="shared" si="23"/>
        <v>C bas</v>
      </c>
      <c r="E39" s="137" t="str">
        <f t="shared" si="24"/>
        <v>D faible</v>
      </c>
      <c r="F39" s="137" t="str">
        <f>D$11</f>
        <v>E sup</v>
      </c>
      <c r="G39" s="4">
        <f t="shared" si="0"/>
        <v>215</v>
      </c>
      <c r="H39" s="9">
        <v>211</v>
      </c>
      <c r="I39" s="9">
        <v>219</v>
      </c>
      <c r="J39" s="9"/>
      <c r="K39" s="9"/>
      <c r="L39" s="9"/>
      <c r="M39" s="62"/>
      <c r="N39" s="57" t="str">
        <f>D9</f>
        <v>C haut</v>
      </c>
      <c r="O39" s="57" t="str">
        <f>B9</f>
        <v>C</v>
      </c>
      <c r="P39" s="65">
        <f>(G18+G19+G20+G21+G34+G35+G36+G37)/8</f>
        <v>113.25</v>
      </c>
      <c r="Q39" s="65">
        <f>(G26+G27+G28+G29+G42+G43+G44+G45)/8</f>
        <v>136.4375</v>
      </c>
      <c r="W39" s="58"/>
      <c r="X39" s="58"/>
      <c r="Y39" s="58"/>
    </row>
    <row r="40" spans="1:25" ht="13.8">
      <c r="A40" s="136">
        <v>27</v>
      </c>
      <c r="B40" s="138" t="str">
        <f t="shared" si="17"/>
        <v>A haut</v>
      </c>
      <c r="C40" s="137" t="str">
        <f t="shared" si="22"/>
        <v>B sup</v>
      </c>
      <c r="D40" s="137" t="str">
        <f t="shared" si="23"/>
        <v>C bas</v>
      </c>
      <c r="E40" s="137" t="str">
        <f t="shared" ref="E40:E41" si="25">D$10</f>
        <v>D fort</v>
      </c>
      <c r="F40" s="137" t="str">
        <f>C$11</f>
        <v>E inf</v>
      </c>
      <c r="G40" s="4">
        <f t="shared" si="0"/>
        <v>165</v>
      </c>
      <c r="H40" s="9">
        <v>162.5</v>
      </c>
      <c r="I40" s="9">
        <v>167.5</v>
      </c>
      <c r="J40" s="9"/>
      <c r="K40" s="9"/>
      <c r="L40" s="9"/>
      <c r="M40" s="62"/>
      <c r="N40" s="57" t="s">
        <v>55</v>
      </c>
      <c r="O40" s="57"/>
      <c r="P40" s="65"/>
      <c r="Q40" s="65"/>
    </row>
    <row r="41" spans="1:25" ht="13.8">
      <c r="A41" s="136">
        <v>28</v>
      </c>
      <c r="B41" s="138" t="str">
        <f t="shared" si="17"/>
        <v>A haut</v>
      </c>
      <c r="C41" s="137" t="str">
        <f t="shared" si="22"/>
        <v>B sup</v>
      </c>
      <c r="D41" s="137" t="str">
        <f t="shared" si="23"/>
        <v>C bas</v>
      </c>
      <c r="E41" s="137" t="str">
        <f t="shared" si="25"/>
        <v>D fort</v>
      </c>
      <c r="F41" s="137" t="str">
        <f>D$11</f>
        <v>E sup</v>
      </c>
      <c r="G41" s="4">
        <f t="shared" si="0"/>
        <v>192</v>
      </c>
      <c r="H41" s="9">
        <v>195</v>
      </c>
      <c r="I41" s="9">
        <v>189</v>
      </c>
      <c r="J41" s="9"/>
      <c r="K41" s="9"/>
      <c r="L41" s="9"/>
      <c r="M41" s="62"/>
      <c r="N41" s="57" t="str">
        <f>C10</f>
        <v>D faible</v>
      </c>
      <c r="O41" s="57" t="str">
        <f>B10</f>
        <v>D</v>
      </c>
      <c r="P41" s="65">
        <f>(G14+G15+G18+G19+G30+G31+G34+G35)/8</f>
        <v>137.5625</v>
      </c>
      <c r="Q41" s="65">
        <f>(G22+G23+G26+G27+G38+G39+G42+G43)/8</f>
        <v>168.75</v>
      </c>
    </row>
    <row r="42" spans="1:25" ht="13.8">
      <c r="A42" s="136">
        <v>29</v>
      </c>
      <c r="B42" s="138" t="str">
        <f t="shared" si="17"/>
        <v>A haut</v>
      </c>
      <c r="C42" s="137" t="str">
        <f t="shared" si="22"/>
        <v>B sup</v>
      </c>
      <c r="D42" s="137" t="str">
        <f t="shared" ref="D42:D45" si="26">D$9</f>
        <v>C haut</v>
      </c>
      <c r="E42" s="137" t="str">
        <f t="shared" ref="E42:E43" si="27">C$10</f>
        <v>D faible</v>
      </c>
      <c r="F42" s="137" t="str">
        <f>C$11</f>
        <v>E inf</v>
      </c>
      <c r="G42" s="4">
        <f t="shared" si="0"/>
        <v>118.5</v>
      </c>
      <c r="H42" s="9">
        <v>122.5</v>
      </c>
      <c r="I42" s="9">
        <v>114.5</v>
      </c>
      <c r="J42" s="9"/>
      <c r="K42" s="9"/>
      <c r="L42" s="9"/>
      <c r="M42" s="62"/>
      <c r="N42" s="57" t="str">
        <f>D10</f>
        <v>D fort</v>
      </c>
      <c r="O42" s="57" t="str">
        <f>B10</f>
        <v>D</v>
      </c>
      <c r="P42" s="65">
        <f>(G16+G17+G20+G21+G32+G33+G36+G37)/8</f>
        <v>136.8125</v>
      </c>
      <c r="Q42" s="65">
        <f>(G24+G25+G28+G29+G40+G41+G44+G45)/8</f>
        <v>155.625</v>
      </c>
    </row>
    <row r="43" spans="1:25" ht="13.8">
      <c r="A43" s="136">
        <v>30</v>
      </c>
      <c r="B43" s="138" t="str">
        <f t="shared" si="17"/>
        <v>A haut</v>
      </c>
      <c r="C43" s="137" t="str">
        <f t="shared" si="22"/>
        <v>B sup</v>
      </c>
      <c r="D43" s="137" t="str">
        <f t="shared" si="26"/>
        <v>C haut</v>
      </c>
      <c r="E43" s="137" t="str">
        <f t="shared" si="27"/>
        <v>D faible</v>
      </c>
      <c r="F43" s="137" t="str">
        <f>D$11</f>
        <v>E sup</v>
      </c>
      <c r="G43" s="4">
        <f t="shared" si="0"/>
        <v>166.5</v>
      </c>
      <c r="H43" s="9">
        <v>162</v>
      </c>
      <c r="I43" s="9">
        <v>171</v>
      </c>
      <c r="J43" s="9"/>
      <c r="K43" s="9"/>
      <c r="L43" s="9"/>
      <c r="M43" s="62"/>
      <c r="N43" s="57" t="s">
        <v>55</v>
      </c>
      <c r="O43" s="57"/>
      <c r="P43" s="65"/>
      <c r="Q43" s="65"/>
    </row>
    <row r="44" spans="1:25" ht="13.8">
      <c r="A44" s="136">
        <v>31</v>
      </c>
      <c r="B44" s="138" t="str">
        <f t="shared" si="17"/>
        <v>A haut</v>
      </c>
      <c r="C44" s="137" t="str">
        <f t="shared" si="22"/>
        <v>B sup</v>
      </c>
      <c r="D44" s="137" t="str">
        <f t="shared" si="26"/>
        <v>C haut</v>
      </c>
      <c r="E44" s="137" t="str">
        <f t="shared" ref="E44:E45" si="28">D$10</f>
        <v>D fort</v>
      </c>
      <c r="F44" s="137" t="str">
        <f>C$11</f>
        <v>E inf</v>
      </c>
      <c r="G44" s="4">
        <f t="shared" si="0"/>
        <v>120</v>
      </c>
      <c r="H44" s="9">
        <v>115</v>
      </c>
      <c r="I44" s="9">
        <v>125</v>
      </c>
      <c r="J44" s="9"/>
      <c r="K44" s="9"/>
      <c r="L44" s="9"/>
      <c r="M44" s="62"/>
      <c r="N44" s="57" t="str">
        <f>C11</f>
        <v>E inf</v>
      </c>
      <c r="O44" s="57" t="str">
        <f>B11</f>
        <v>E</v>
      </c>
      <c r="P44" s="65">
        <f>(G14+G16+G18+G20+G30+G32+G34+G36)/8</f>
        <v>117.375</v>
      </c>
      <c r="Q44" s="65">
        <f>(G22+G24+G26+G28+G38+G40+G42+G44)/8</f>
        <v>145.625</v>
      </c>
    </row>
    <row r="45" spans="1:25" ht="13.8">
      <c r="A45" s="136">
        <v>32</v>
      </c>
      <c r="B45" s="138" t="str">
        <f t="shared" si="17"/>
        <v>A haut</v>
      </c>
      <c r="C45" s="137" t="str">
        <f t="shared" si="22"/>
        <v>B sup</v>
      </c>
      <c r="D45" s="137" t="str">
        <f t="shared" si="26"/>
        <v>C haut</v>
      </c>
      <c r="E45" s="137" t="str">
        <f t="shared" si="28"/>
        <v>D fort</v>
      </c>
      <c r="F45" s="137" t="str">
        <f>D$11</f>
        <v>E sup</v>
      </c>
      <c r="G45" s="4">
        <f t="shared" si="0"/>
        <v>142.5</v>
      </c>
      <c r="H45" s="9">
        <v>147.5</v>
      </c>
      <c r="I45" s="9">
        <v>137.5</v>
      </c>
      <c r="J45" s="9"/>
      <c r="K45" s="9"/>
      <c r="L45" s="9"/>
      <c r="M45" s="62"/>
      <c r="N45" s="57" t="str">
        <f>D11</f>
        <v>E sup</v>
      </c>
      <c r="O45" s="57" t="str">
        <f>B11</f>
        <v>E</v>
      </c>
      <c r="P45" s="65">
        <f>(G15+G17+G19+G21+G31+G33+G35+G37)/8</f>
        <v>157</v>
      </c>
      <c r="Q45" s="65">
        <f>(G23+G25+G27+G29+G39+G41+G43+G45)/8</f>
        <v>178.75</v>
      </c>
    </row>
    <row r="46" spans="1:25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</row>
    <row r="47" spans="1:25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</row>
    <row r="48" spans="1:25"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P48" s="57" t="str">
        <f>B9</f>
        <v>C</v>
      </c>
      <c r="Q48" s="57" t="str">
        <f>B9</f>
        <v>C</v>
      </c>
      <c r="R48" s="64" t="s">
        <v>38</v>
      </c>
    </row>
    <row r="49" spans="1:17" ht="13.8">
      <c r="A49" s="17" t="s">
        <v>23</v>
      </c>
      <c r="B49" s="18" t="s">
        <v>24</v>
      </c>
      <c r="C49" s="18" t="s">
        <v>25</v>
      </c>
      <c r="D49" s="18" t="s">
        <v>26</v>
      </c>
      <c r="E49" s="18" t="s">
        <v>31</v>
      </c>
      <c r="F49" s="18" t="s">
        <v>35</v>
      </c>
      <c r="G49" s="18" t="s">
        <v>39</v>
      </c>
      <c r="H49" s="67"/>
      <c r="I49" s="251" t="s">
        <v>218</v>
      </c>
      <c r="J49" s="252"/>
      <c r="K49" s="253"/>
      <c r="L49" s="67"/>
      <c r="M49" s="67"/>
      <c r="P49" s="57" t="str">
        <f>C9</f>
        <v>C bas</v>
      </c>
      <c r="Q49" s="57" t="str">
        <f>D9</f>
        <v>C haut</v>
      </c>
    </row>
    <row r="50" spans="1:17" ht="13.8">
      <c r="A50" s="17" t="s">
        <v>27</v>
      </c>
      <c r="B50" s="21">
        <f>(SUM(G14:G47))/32</f>
        <v>149.6875</v>
      </c>
      <c r="C50" s="21">
        <f>(SUM(G14:G29)/16)-B50</f>
        <v>-1.4375</v>
      </c>
      <c r="D50" s="21">
        <f>(((SUM(G14:G21))+(SUM(G30:G37)))/16)-B50</f>
        <v>-12.5</v>
      </c>
      <c r="E50" s="21">
        <f>((G14+G15+G16+G17+G22+G23+G24+G25+G30+G31+G32+G33+G38+G39+G40+G41)/16)-B50</f>
        <v>24.84375</v>
      </c>
      <c r="F50" s="21">
        <f>((G14+G15+G18+G19+G22+G23+G26+G27+G30+G31+G34+G35+G38+G39+G42+G43)/16)-B50</f>
        <v>3.46875</v>
      </c>
      <c r="G50" s="21">
        <f>((G14+G16+G18+G20+G22+G24+G26+G28+G30+G32+G34+G36+G38+G40+G42+G44)/16)-B50</f>
        <v>-18.1875</v>
      </c>
      <c r="H50" s="68"/>
      <c r="I50" s="254" t="s">
        <v>219</v>
      </c>
      <c r="J50" s="255"/>
      <c r="K50" s="256"/>
      <c r="L50" s="68"/>
      <c r="M50" s="68"/>
      <c r="N50" s="57" t="str">
        <f>C10</f>
        <v>D faible</v>
      </c>
      <c r="O50" s="57" t="str">
        <f>B10</f>
        <v>D</v>
      </c>
      <c r="P50" s="54">
        <f>(G14+G15+G22+G23+G30+G31+G38+G39)/8</f>
        <v>175.875</v>
      </c>
      <c r="Q50" s="54">
        <f>(G18+G19+G26+G27+G34+G35+G42+G43)/8</f>
        <v>130.4375</v>
      </c>
    </row>
    <row r="51" spans="1:17" ht="13.8">
      <c r="A51" s="17" t="s">
        <v>28</v>
      </c>
      <c r="B51" s="21">
        <f>(SUM(G14:G47))/32</f>
        <v>149.6875</v>
      </c>
      <c r="C51" s="21">
        <f>(SUM(G30:G47)/16)-B51</f>
        <v>1.4375</v>
      </c>
      <c r="D51" s="21">
        <f>(((SUM(G22:G29))+(SUM(G38:G47)))/16)-B51</f>
        <v>12.5</v>
      </c>
      <c r="E51" s="21">
        <f>((G18+G19+G20+G21+G26+G27+G28+G29+G34+G35+G36+G37+G42+G43+G44+G45)/16)-B51</f>
        <v>-24.84375</v>
      </c>
      <c r="F51" s="21">
        <f>((G16+G17+G20+G21+G24+G25+G28+G29+G32+G33+G36+G37+G40+G41+G44+G45)/16)-B51</f>
        <v>-3.46875</v>
      </c>
      <c r="G51" s="21">
        <f>((G15+G17+G19+G21+G23+G25+G27+G29+G31+G33+G35+G37+G39+G41+G43+G45)/16)-B51</f>
        <v>18.1875</v>
      </c>
      <c r="H51" s="68"/>
      <c r="I51" s="68"/>
      <c r="J51" s="68"/>
      <c r="K51" s="68"/>
      <c r="L51" s="68"/>
      <c r="M51" s="68"/>
      <c r="N51" s="57" t="str">
        <f>D10</f>
        <v>D fort</v>
      </c>
      <c r="O51" s="57" t="str">
        <f>B10</f>
        <v>D</v>
      </c>
      <c r="P51" s="54">
        <f>(G16+G17+G24+G25+G32+G33+G40+G41)/8</f>
        <v>173.1875</v>
      </c>
      <c r="Q51" s="54">
        <f>(G20+G21+G28+G29+G36+G37+G44+G45)/8</f>
        <v>119.25</v>
      </c>
    </row>
    <row r="52" spans="1:17"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54" t="s">
        <v>55</v>
      </c>
    </row>
    <row r="53" spans="1:17" ht="13.8">
      <c r="A53" s="69" t="s">
        <v>154</v>
      </c>
      <c r="C53" s="70"/>
      <c r="D53" s="71"/>
      <c r="E53" s="66"/>
      <c r="F53" s="66"/>
      <c r="G53" s="66"/>
      <c r="H53" s="66"/>
      <c r="I53" s="66"/>
      <c r="J53" s="66"/>
      <c r="K53" s="66"/>
      <c r="L53" s="66"/>
      <c r="M53" s="66"/>
      <c r="N53" s="57" t="str">
        <f>C11</f>
        <v>E inf</v>
      </c>
      <c r="O53" s="57" t="str">
        <f>B11</f>
        <v>E</v>
      </c>
      <c r="P53" s="54">
        <f>(G14+G16+G22+G24+G30+G32+G38+G40)/8</f>
        <v>154.75</v>
      </c>
      <c r="Q53" s="54">
        <f>(G18+G20+G26+G28+G34+G36+G42+G44)/8</f>
        <v>108.25</v>
      </c>
    </row>
    <row r="54" spans="1:17">
      <c r="B54" s="161" t="s">
        <v>224</v>
      </c>
      <c r="C54" s="161" t="s">
        <v>181</v>
      </c>
      <c r="D54" s="161" t="s">
        <v>182</v>
      </c>
      <c r="E54" s="161" t="s">
        <v>190</v>
      </c>
      <c r="F54" s="161" t="s">
        <v>197</v>
      </c>
      <c r="G54" s="161" t="s">
        <v>202</v>
      </c>
      <c r="H54" s="161" t="s">
        <v>180</v>
      </c>
      <c r="I54" s="161" t="s">
        <v>189</v>
      </c>
      <c r="J54" s="66"/>
      <c r="K54" s="66"/>
      <c r="L54" s="66"/>
      <c r="M54" s="66"/>
      <c r="N54" s="57" t="str">
        <f>D11</f>
        <v>E sup</v>
      </c>
      <c r="O54" s="57" t="str">
        <f>B11</f>
        <v>E</v>
      </c>
      <c r="P54" s="54">
        <f>(G15+G17+G23+G25+G31+G33+G39+G41)/8</f>
        <v>194.3125</v>
      </c>
      <c r="Q54" s="54">
        <f>(G19+G21+G27+G29+G35+G37+G43+G45)/8</f>
        <v>141.4375</v>
      </c>
    </row>
    <row r="55" spans="1:17">
      <c r="B55" s="148" t="s">
        <v>17</v>
      </c>
      <c r="C55" s="148" t="s">
        <v>149</v>
      </c>
      <c r="D55" s="160" t="s">
        <v>150</v>
      </c>
      <c r="E55" s="147" t="s">
        <v>155</v>
      </c>
      <c r="F55" s="148" t="s">
        <v>158</v>
      </c>
      <c r="G55" s="147" t="s">
        <v>161</v>
      </c>
      <c r="H55" s="149">
        <f t="shared" ref="H55:H86" si="29">IF(H14="","",H14)</f>
        <v>90</v>
      </c>
      <c r="I55" s="244" t="str">
        <f>IF(H55="","",CONCATENATE(C55,"_",D55,"_",E55,"_",F55,"_",G55))</f>
        <v>A1_B1_C1_D1_E1</v>
      </c>
      <c r="J55" s="66"/>
      <c r="K55" s="66"/>
      <c r="L55" s="66"/>
      <c r="M55" s="66"/>
    </row>
    <row r="56" spans="1:17">
      <c r="B56" s="149" t="s">
        <v>17</v>
      </c>
      <c r="C56" s="149" t="s">
        <v>149</v>
      </c>
      <c r="D56" s="153" t="s">
        <v>150</v>
      </c>
      <c r="E56" s="150" t="s">
        <v>155</v>
      </c>
      <c r="F56" s="149" t="s">
        <v>158</v>
      </c>
      <c r="G56" s="150" t="s">
        <v>162</v>
      </c>
      <c r="H56" s="149">
        <f t="shared" si="29"/>
        <v>190</v>
      </c>
      <c r="I56" s="245" t="str">
        <f t="shared" ref="I56:I119" si="30">IF(H56="","",CONCATENATE(C56,"_",D56,"_",E56,"_",F56,"_",G56))</f>
        <v>A1_B1_C1_D1_E2</v>
      </c>
      <c r="J56" s="66"/>
      <c r="K56" s="66"/>
      <c r="L56" s="66"/>
      <c r="M56" s="66"/>
    </row>
    <row r="57" spans="1:17">
      <c r="B57" s="149" t="s">
        <v>17</v>
      </c>
      <c r="C57" s="149" t="s">
        <v>149</v>
      </c>
      <c r="D57" s="153" t="s">
        <v>150</v>
      </c>
      <c r="E57" s="150" t="s">
        <v>155</v>
      </c>
      <c r="F57" s="149" t="s">
        <v>159</v>
      </c>
      <c r="G57" s="150" t="s">
        <v>161</v>
      </c>
      <c r="H57" s="149">
        <f t="shared" si="29"/>
        <v>150</v>
      </c>
      <c r="I57" s="245" t="str">
        <f t="shared" si="30"/>
        <v>A1_B1_C1_D2_E1</v>
      </c>
      <c r="J57" s="66"/>
      <c r="K57" s="66"/>
      <c r="L57" s="66"/>
      <c r="M57" s="66"/>
    </row>
    <row r="58" spans="1:17">
      <c r="B58" s="149" t="s">
        <v>17</v>
      </c>
      <c r="C58" s="149" t="s">
        <v>149</v>
      </c>
      <c r="D58" s="153" t="s">
        <v>150</v>
      </c>
      <c r="E58" s="150" t="s">
        <v>155</v>
      </c>
      <c r="F58" s="149" t="s">
        <v>159</v>
      </c>
      <c r="G58" s="150" t="s">
        <v>162</v>
      </c>
      <c r="H58" s="149">
        <f t="shared" si="29"/>
        <v>180</v>
      </c>
      <c r="I58" s="245" t="str">
        <f t="shared" si="30"/>
        <v>A1_B1_C1_D2_E2</v>
      </c>
      <c r="J58" s="66"/>
      <c r="K58" s="66"/>
      <c r="L58" s="66"/>
      <c r="M58" s="66"/>
    </row>
    <row r="59" spans="1:17">
      <c r="B59" s="149" t="s">
        <v>17</v>
      </c>
      <c r="C59" s="149" t="s">
        <v>149</v>
      </c>
      <c r="D59" s="153" t="s">
        <v>150</v>
      </c>
      <c r="E59" s="150" t="s">
        <v>156</v>
      </c>
      <c r="F59" s="149" t="s">
        <v>158</v>
      </c>
      <c r="G59" s="150" t="s">
        <v>161</v>
      </c>
      <c r="H59" s="149">
        <f t="shared" si="29"/>
        <v>102.5</v>
      </c>
      <c r="I59" s="245" t="str">
        <f t="shared" si="30"/>
        <v>A1_B1_C2_D1_E1</v>
      </c>
      <c r="J59" s="66"/>
      <c r="K59" s="66"/>
      <c r="L59" s="66"/>
      <c r="M59" s="66"/>
    </row>
    <row r="60" spans="1:17">
      <c r="B60" s="149" t="s">
        <v>17</v>
      </c>
      <c r="C60" s="149" t="s">
        <v>149</v>
      </c>
      <c r="D60" s="153" t="s">
        <v>150</v>
      </c>
      <c r="E60" s="150" t="s">
        <v>156</v>
      </c>
      <c r="F60" s="149" t="s">
        <v>158</v>
      </c>
      <c r="G60" s="150" t="s">
        <v>162</v>
      </c>
      <c r="H60" s="149">
        <f t="shared" si="29"/>
        <v>135</v>
      </c>
      <c r="I60" s="245" t="str">
        <f t="shared" si="30"/>
        <v>A1_B1_C2_D1_E2</v>
      </c>
      <c r="J60" s="66"/>
      <c r="K60" s="66"/>
      <c r="L60" s="66"/>
      <c r="M60" s="66"/>
    </row>
    <row r="61" spans="1:17">
      <c r="B61" s="149" t="s">
        <v>17</v>
      </c>
      <c r="C61" s="149" t="s">
        <v>149</v>
      </c>
      <c r="D61" s="153" t="s">
        <v>150</v>
      </c>
      <c r="E61" s="150" t="s">
        <v>156</v>
      </c>
      <c r="F61" s="149" t="s">
        <v>159</v>
      </c>
      <c r="G61" s="150" t="s">
        <v>161</v>
      </c>
      <c r="H61" s="149">
        <f t="shared" si="29"/>
        <v>90</v>
      </c>
      <c r="I61" s="245" t="str">
        <f t="shared" si="30"/>
        <v>A1_B1_C2_D2_E1</v>
      </c>
      <c r="J61" s="66"/>
      <c r="K61" s="66"/>
      <c r="L61" s="66"/>
      <c r="M61" s="66"/>
    </row>
    <row r="62" spans="1:17">
      <c r="B62" s="149" t="s">
        <v>17</v>
      </c>
      <c r="C62" s="149" t="s">
        <v>149</v>
      </c>
      <c r="D62" s="153" t="s">
        <v>150</v>
      </c>
      <c r="E62" s="150" t="s">
        <v>156</v>
      </c>
      <c r="F62" s="149" t="s">
        <v>159</v>
      </c>
      <c r="G62" s="150" t="s">
        <v>162</v>
      </c>
      <c r="H62" s="149">
        <f t="shared" si="29"/>
        <v>127.5</v>
      </c>
      <c r="I62" s="245" t="str">
        <f t="shared" si="30"/>
        <v>A1_B1_C2_D2_E2</v>
      </c>
      <c r="J62" s="66"/>
      <c r="K62" s="66"/>
      <c r="L62" s="66"/>
      <c r="M62" s="66"/>
    </row>
    <row r="63" spans="1:17">
      <c r="B63" s="149" t="s">
        <v>17</v>
      </c>
      <c r="C63" s="149" t="s">
        <v>149</v>
      </c>
      <c r="D63" s="153" t="s">
        <v>151</v>
      </c>
      <c r="E63" s="150" t="s">
        <v>155</v>
      </c>
      <c r="F63" s="149" t="s">
        <v>158</v>
      </c>
      <c r="G63" s="150" t="s">
        <v>161</v>
      </c>
      <c r="H63" s="149">
        <f t="shared" si="29"/>
        <v>177.5</v>
      </c>
      <c r="I63" s="245" t="str">
        <f t="shared" si="30"/>
        <v>A1_B2_C1_D1_E1</v>
      </c>
      <c r="J63" s="66"/>
      <c r="K63" s="66"/>
      <c r="L63" s="66"/>
      <c r="M63" s="66"/>
    </row>
    <row r="64" spans="1:17">
      <c r="B64" s="149" t="s">
        <v>17</v>
      </c>
      <c r="C64" s="149" t="s">
        <v>149</v>
      </c>
      <c r="D64" s="149" t="s">
        <v>151</v>
      </c>
      <c r="E64" s="150" t="s">
        <v>155</v>
      </c>
      <c r="F64" s="149" t="s">
        <v>158</v>
      </c>
      <c r="G64" s="150" t="s">
        <v>162</v>
      </c>
      <c r="H64" s="149">
        <f t="shared" si="29"/>
        <v>210</v>
      </c>
      <c r="I64" s="245" t="str">
        <f t="shared" si="30"/>
        <v>A1_B2_C1_D1_E2</v>
      </c>
      <c r="J64" s="66"/>
      <c r="K64" s="66"/>
      <c r="L64" s="66"/>
      <c r="M64" s="66"/>
      <c r="P64" s="57" t="str">
        <f>B10</f>
        <v>D</v>
      </c>
      <c r="Q64" s="57" t="str">
        <f>B10</f>
        <v>D</v>
      </c>
    </row>
    <row r="65" spans="2:18">
      <c r="B65" s="149" t="s">
        <v>17</v>
      </c>
      <c r="C65" s="149" t="s">
        <v>149</v>
      </c>
      <c r="D65" s="149" t="s">
        <v>151</v>
      </c>
      <c r="E65" s="150" t="s">
        <v>155</v>
      </c>
      <c r="F65" s="149" t="s">
        <v>159</v>
      </c>
      <c r="G65" s="150" t="s">
        <v>161</v>
      </c>
      <c r="H65" s="149">
        <f t="shared" si="29"/>
        <v>162.5</v>
      </c>
      <c r="I65" s="245" t="str">
        <f t="shared" si="30"/>
        <v>A1_B2_C1_D2_E1</v>
      </c>
      <c r="J65" s="66"/>
      <c r="K65" s="66"/>
      <c r="L65" s="66"/>
      <c r="M65" s="66"/>
      <c r="P65" s="57" t="str">
        <f>C10</f>
        <v>D faible</v>
      </c>
      <c r="Q65" s="57" t="str">
        <f>D10</f>
        <v>D fort</v>
      </c>
      <c r="R65" s="64" t="s">
        <v>40</v>
      </c>
    </row>
    <row r="66" spans="2:18">
      <c r="B66" s="151" t="s">
        <v>17</v>
      </c>
      <c r="C66" s="151" t="s">
        <v>149</v>
      </c>
      <c r="D66" s="151" t="s">
        <v>151</v>
      </c>
      <c r="E66" s="152" t="s">
        <v>155</v>
      </c>
      <c r="F66" s="151" t="s">
        <v>159</v>
      </c>
      <c r="G66" s="152" t="s">
        <v>162</v>
      </c>
      <c r="H66" s="149">
        <f t="shared" si="29"/>
        <v>195</v>
      </c>
      <c r="I66" s="245" t="str">
        <f t="shared" si="30"/>
        <v>A1_B2_C1_D2_E2</v>
      </c>
      <c r="J66" s="66"/>
      <c r="K66" s="66"/>
      <c r="L66" s="66"/>
      <c r="M66" s="66"/>
      <c r="N66" s="57" t="str">
        <f>C11</f>
        <v>E inf</v>
      </c>
      <c r="O66" s="57" t="str">
        <f>B11</f>
        <v>E</v>
      </c>
      <c r="P66" s="65">
        <f>(G14+G18+G22+G26+G30+G34+G38+G42)/8</f>
        <v>130.5625</v>
      </c>
      <c r="Q66" s="65">
        <f>(G16+G20+G24+G28+G32+G36+G40+G44)/8</f>
        <v>132.4375</v>
      </c>
    </row>
    <row r="67" spans="2:18">
      <c r="B67" s="153" t="s">
        <v>17</v>
      </c>
      <c r="C67" s="153" t="s">
        <v>149</v>
      </c>
      <c r="D67" s="154" t="s">
        <v>151</v>
      </c>
      <c r="E67" s="155" t="s">
        <v>156</v>
      </c>
      <c r="F67" s="156" t="s">
        <v>158</v>
      </c>
      <c r="G67" s="157" t="s">
        <v>161</v>
      </c>
      <c r="H67" s="149">
        <f t="shared" si="29"/>
        <v>122.5</v>
      </c>
      <c r="I67" s="245" t="str">
        <f t="shared" si="30"/>
        <v>A1_B2_C2_D1_E1</v>
      </c>
      <c r="J67" s="72"/>
      <c r="K67" s="72"/>
      <c r="L67" s="72"/>
      <c r="M67" s="72"/>
      <c r="N67" s="57" t="str">
        <f>D11</f>
        <v>E sup</v>
      </c>
      <c r="O67" s="57" t="str">
        <f>B11</f>
        <v>E</v>
      </c>
      <c r="P67" s="65">
        <f>(G15+G19+G23+G27+G31+G35+G39+G43)/8</f>
        <v>175.75</v>
      </c>
      <c r="Q67" s="65">
        <f>(G17+G21+G25+G29+G33+G37+G41+G45)/8</f>
        <v>160</v>
      </c>
    </row>
    <row r="68" spans="2:18">
      <c r="B68" s="153" t="s">
        <v>17</v>
      </c>
      <c r="C68" s="153" t="s">
        <v>149</v>
      </c>
      <c r="D68" s="154" t="s">
        <v>151</v>
      </c>
      <c r="E68" s="155" t="s">
        <v>156</v>
      </c>
      <c r="F68" s="156" t="s">
        <v>158</v>
      </c>
      <c r="G68" s="157" t="s">
        <v>162</v>
      </c>
      <c r="H68" s="149">
        <f t="shared" si="29"/>
        <v>160</v>
      </c>
      <c r="I68" s="245" t="str">
        <f t="shared" si="30"/>
        <v>A1_B2_C2_D1_E2</v>
      </c>
      <c r="J68" s="72"/>
      <c r="K68" s="72"/>
      <c r="L68" s="72"/>
      <c r="M68" s="72"/>
    </row>
    <row r="69" spans="2:18">
      <c r="B69" s="153" t="s">
        <v>17</v>
      </c>
      <c r="C69" s="153" t="s">
        <v>149</v>
      </c>
      <c r="D69" s="154" t="s">
        <v>151</v>
      </c>
      <c r="E69" s="155" t="s">
        <v>156</v>
      </c>
      <c r="F69" s="156" t="s">
        <v>159</v>
      </c>
      <c r="G69" s="157" t="s">
        <v>161</v>
      </c>
      <c r="H69" s="149">
        <f t="shared" si="29"/>
        <v>115</v>
      </c>
      <c r="I69" s="245" t="str">
        <f t="shared" si="30"/>
        <v>A1_B2_C2_D2_E1</v>
      </c>
      <c r="J69" s="72"/>
      <c r="K69" s="72"/>
      <c r="L69" s="72"/>
      <c r="M69" s="72"/>
    </row>
    <row r="70" spans="2:18">
      <c r="B70" s="153" t="s">
        <v>17</v>
      </c>
      <c r="C70" s="153" t="s">
        <v>149</v>
      </c>
      <c r="D70" s="154" t="s">
        <v>151</v>
      </c>
      <c r="E70" s="155" t="s">
        <v>156</v>
      </c>
      <c r="F70" s="156" t="s">
        <v>159</v>
      </c>
      <c r="G70" s="157" t="s">
        <v>162</v>
      </c>
      <c r="H70" s="149">
        <f t="shared" si="29"/>
        <v>147.5</v>
      </c>
      <c r="I70" s="245" t="str">
        <f t="shared" si="30"/>
        <v>A1_B2_C2_D2_E2</v>
      </c>
      <c r="J70" s="72"/>
      <c r="K70" s="72"/>
      <c r="L70" s="72"/>
      <c r="M70" s="72"/>
    </row>
    <row r="71" spans="2:18">
      <c r="B71" s="153" t="s">
        <v>17</v>
      </c>
      <c r="C71" s="153" t="s">
        <v>152</v>
      </c>
      <c r="D71" s="154" t="s">
        <v>150</v>
      </c>
      <c r="E71" s="155" t="s">
        <v>155</v>
      </c>
      <c r="F71" s="156" t="s">
        <v>158</v>
      </c>
      <c r="G71" s="157" t="s">
        <v>161</v>
      </c>
      <c r="H71" s="149">
        <f t="shared" si="29"/>
        <v>152.5</v>
      </c>
      <c r="I71" s="245" t="str">
        <f t="shared" si="30"/>
        <v>A2_B1_C1_D1_E1</v>
      </c>
      <c r="J71" s="72"/>
      <c r="K71" s="72"/>
      <c r="L71" s="72"/>
      <c r="M71" s="72"/>
    </row>
    <row r="72" spans="2:18" s="74" customFormat="1">
      <c r="B72" s="153" t="s">
        <v>17</v>
      </c>
      <c r="C72" s="153" t="s">
        <v>152</v>
      </c>
      <c r="D72" s="154" t="s">
        <v>150</v>
      </c>
      <c r="E72" s="155" t="s">
        <v>155</v>
      </c>
      <c r="F72" s="156" t="s">
        <v>158</v>
      </c>
      <c r="G72" s="157" t="s">
        <v>162</v>
      </c>
      <c r="H72" s="149">
        <f t="shared" si="29"/>
        <v>190</v>
      </c>
      <c r="I72" s="245" t="str">
        <f t="shared" si="30"/>
        <v>A2_B1_C1_D1_E2</v>
      </c>
      <c r="J72" s="73"/>
      <c r="K72" s="73"/>
      <c r="L72" s="73"/>
      <c r="M72" s="73"/>
    </row>
    <row r="73" spans="2:18" s="74" customFormat="1">
      <c r="B73" s="153" t="s">
        <v>17</v>
      </c>
      <c r="C73" s="153" t="s">
        <v>152</v>
      </c>
      <c r="D73" s="154" t="s">
        <v>150</v>
      </c>
      <c r="E73" s="155" t="s">
        <v>155</v>
      </c>
      <c r="F73" s="156" t="s">
        <v>159</v>
      </c>
      <c r="G73" s="157" t="s">
        <v>161</v>
      </c>
      <c r="H73" s="149">
        <f t="shared" si="29"/>
        <v>151</v>
      </c>
      <c r="I73" s="245" t="str">
        <f t="shared" si="30"/>
        <v>A2_B1_C1_D2_E1</v>
      </c>
      <c r="J73" s="73"/>
      <c r="K73" s="73"/>
      <c r="L73" s="73"/>
      <c r="M73" s="73"/>
    </row>
    <row r="74" spans="2:18" s="74" customFormat="1">
      <c r="B74" s="153" t="s">
        <v>17</v>
      </c>
      <c r="C74" s="153" t="s">
        <v>152</v>
      </c>
      <c r="D74" s="154" t="s">
        <v>150</v>
      </c>
      <c r="E74" s="155" t="s">
        <v>155</v>
      </c>
      <c r="F74" s="156" t="s">
        <v>159</v>
      </c>
      <c r="G74" s="157" t="s">
        <v>162</v>
      </c>
      <c r="H74" s="149">
        <f t="shared" si="29"/>
        <v>180</v>
      </c>
      <c r="I74" s="245" t="str">
        <f t="shared" si="30"/>
        <v>A2_B1_C1_D2_E2</v>
      </c>
      <c r="J74" s="73"/>
      <c r="K74" s="73"/>
      <c r="L74" s="73"/>
      <c r="M74" s="73"/>
    </row>
    <row r="75" spans="2:18" s="74" customFormat="1">
      <c r="B75" s="153" t="s">
        <v>17</v>
      </c>
      <c r="C75" s="153" t="s">
        <v>152</v>
      </c>
      <c r="D75" s="154" t="s">
        <v>150</v>
      </c>
      <c r="E75" s="155" t="s">
        <v>156</v>
      </c>
      <c r="F75" s="156" t="s">
        <v>158</v>
      </c>
      <c r="G75" s="157" t="s">
        <v>161</v>
      </c>
      <c r="H75" s="149">
        <f t="shared" si="29"/>
        <v>102.5</v>
      </c>
      <c r="I75" s="245" t="str">
        <f t="shared" si="30"/>
        <v>A2_B1_C2_D1_E1</v>
      </c>
      <c r="J75" s="73"/>
      <c r="K75" s="73"/>
      <c r="L75" s="73"/>
      <c r="M75" s="73"/>
    </row>
    <row r="76" spans="2:18" s="74" customFormat="1">
      <c r="B76" s="153" t="s">
        <v>17</v>
      </c>
      <c r="C76" s="153" t="s">
        <v>152</v>
      </c>
      <c r="D76" s="154" t="s">
        <v>150</v>
      </c>
      <c r="E76" s="155" t="s">
        <v>156</v>
      </c>
      <c r="F76" s="156" t="s">
        <v>158</v>
      </c>
      <c r="G76" s="157" t="s">
        <v>162</v>
      </c>
      <c r="H76" s="149">
        <f t="shared" si="29"/>
        <v>132</v>
      </c>
      <c r="I76" s="245" t="str">
        <f t="shared" si="30"/>
        <v>A2_B1_C2_D1_E2</v>
      </c>
      <c r="J76" s="73"/>
      <c r="K76" s="73"/>
      <c r="L76" s="73"/>
      <c r="M76" s="73"/>
    </row>
    <row r="77" spans="2:18" s="75" customFormat="1">
      <c r="B77" s="153" t="s">
        <v>17</v>
      </c>
      <c r="C77" s="153" t="s">
        <v>152</v>
      </c>
      <c r="D77" s="154" t="s">
        <v>150</v>
      </c>
      <c r="E77" s="155" t="s">
        <v>156</v>
      </c>
      <c r="F77" s="156" t="s">
        <v>159</v>
      </c>
      <c r="G77" s="157" t="s">
        <v>161</v>
      </c>
      <c r="H77" s="149">
        <f t="shared" si="29"/>
        <v>90</v>
      </c>
      <c r="I77" s="245" t="str">
        <f t="shared" si="30"/>
        <v>A2_B1_C2_D2_E1</v>
      </c>
      <c r="J77" s="73"/>
      <c r="K77" s="73"/>
      <c r="L77" s="73"/>
      <c r="M77" s="73"/>
    </row>
    <row r="78" spans="2:18" s="75" customFormat="1">
      <c r="B78" s="153" t="s">
        <v>17</v>
      </c>
      <c r="C78" s="153" t="s">
        <v>152</v>
      </c>
      <c r="D78" s="154" t="s">
        <v>150</v>
      </c>
      <c r="E78" s="155" t="s">
        <v>156</v>
      </c>
      <c r="F78" s="156" t="s">
        <v>159</v>
      </c>
      <c r="G78" s="157" t="s">
        <v>162</v>
      </c>
      <c r="H78" s="149">
        <f t="shared" si="29"/>
        <v>127.5</v>
      </c>
      <c r="I78" s="245" t="str">
        <f t="shared" si="30"/>
        <v>A2_B1_C2_D2_E2</v>
      </c>
      <c r="J78" s="73"/>
      <c r="K78" s="73"/>
      <c r="L78" s="73"/>
      <c r="M78" s="73"/>
    </row>
    <row r="79" spans="2:18" s="75" customFormat="1">
      <c r="B79" s="153" t="s">
        <v>17</v>
      </c>
      <c r="C79" s="153" t="s">
        <v>152</v>
      </c>
      <c r="D79" s="154" t="s">
        <v>151</v>
      </c>
      <c r="E79" s="155" t="s">
        <v>155</v>
      </c>
      <c r="F79" s="156" t="s">
        <v>158</v>
      </c>
      <c r="G79" s="157" t="s">
        <v>161</v>
      </c>
      <c r="H79" s="149">
        <f t="shared" si="29"/>
        <v>177.5</v>
      </c>
      <c r="I79" s="245" t="str">
        <f t="shared" si="30"/>
        <v>A2_B2_C1_D1_E1</v>
      </c>
      <c r="J79" s="73"/>
      <c r="K79" s="73"/>
      <c r="L79" s="73"/>
      <c r="M79" s="73"/>
    </row>
    <row r="80" spans="2:18" s="75" customFormat="1">
      <c r="B80" s="153" t="s">
        <v>17</v>
      </c>
      <c r="C80" s="153" t="s">
        <v>152</v>
      </c>
      <c r="D80" s="154" t="s">
        <v>151</v>
      </c>
      <c r="E80" s="155" t="s">
        <v>155</v>
      </c>
      <c r="F80" s="156" t="s">
        <v>158</v>
      </c>
      <c r="G80" s="157" t="s">
        <v>162</v>
      </c>
      <c r="H80" s="149">
        <f t="shared" si="29"/>
        <v>211</v>
      </c>
      <c r="I80" s="245" t="str">
        <f t="shared" si="30"/>
        <v>A2_B2_C1_D1_E2</v>
      </c>
      <c r="J80" s="73"/>
      <c r="K80" s="73"/>
      <c r="L80" s="73"/>
      <c r="M80" s="73"/>
    </row>
    <row r="81" spans="2:13" s="75" customFormat="1">
      <c r="B81" s="153" t="s">
        <v>17</v>
      </c>
      <c r="C81" s="153" t="s">
        <v>152</v>
      </c>
      <c r="D81" s="154" t="s">
        <v>151</v>
      </c>
      <c r="E81" s="155" t="s">
        <v>155</v>
      </c>
      <c r="F81" s="156" t="s">
        <v>159</v>
      </c>
      <c r="G81" s="157" t="s">
        <v>161</v>
      </c>
      <c r="H81" s="149">
        <f t="shared" si="29"/>
        <v>162.5</v>
      </c>
      <c r="I81" s="245" t="str">
        <f t="shared" si="30"/>
        <v>A2_B2_C1_D2_E1</v>
      </c>
      <c r="J81" s="73"/>
      <c r="K81" s="73"/>
      <c r="L81" s="73"/>
      <c r="M81" s="73"/>
    </row>
    <row r="82" spans="2:13" s="75" customFormat="1">
      <c r="B82" s="153" t="s">
        <v>17</v>
      </c>
      <c r="C82" s="153" t="s">
        <v>152</v>
      </c>
      <c r="D82" s="154" t="s">
        <v>151</v>
      </c>
      <c r="E82" s="155" t="s">
        <v>155</v>
      </c>
      <c r="F82" s="149" t="s">
        <v>159</v>
      </c>
      <c r="G82" s="150" t="s">
        <v>162</v>
      </c>
      <c r="H82" s="149">
        <f t="shared" si="29"/>
        <v>195</v>
      </c>
      <c r="I82" s="245" t="str">
        <f t="shared" si="30"/>
        <v>A2_B2_C1_D2_E2</v>
      </c>
      <c r="J82" s="76"/>
      <c r="K82" s="76"/>
      <c r="L82" s="76"/>
      <c r="M82" s="76"/>
    </row>
    <row r="83" spans="2:13" s="75" customFormat="1">
      <c r="B83" s="153" t="s">
        <v>17</v>
      </c>
      <c r="C83" s="153" t="s">
        <v>152</v>
      </c>
      <c r="D83" s="154" t="s">
        <v>151</v>
      </c>
      <c r="E83" s="155" t="s">
        <v>156</v>
      </c>
      <c r="F83" s="149" t="s">
        <v>158</v>
      </c>
      <c r="G83" s="150" t="s">
        <v>161</v>
      </c>
      <c r="H83" s="149">
        <f t="shared" si="29"/>
        <v>122.5</v>
      </c>
      <c r="I83" s="245" t="str">
        <f t="shared" si="30"/>
        <v>A2_B2_C2_D1_E1</v>
      </c>
      <c r="J83" s="76"/>
      <c r="K83" s="76"/>
      <c r="L83" s="76"/>
      <c r="M83" s="76"/>
    </row>
    <row r="84" spans="2:13" s="75" customFormat="1">
      <c r="B84" s="149" t="s">
        <v>17</v>
      </c>
      <c r="C84" s="149" t="s">
        <v>152</v>
      </c>
      <c r="D84" s="149" t="s">
        <v>151</v>
      </c>
      <c r="E84" s="150" t="s">
        <v>156</v>
      </c>
      <c r="F84" s="149" t="s">
        <v>158</v>
      </c>
      <c r="G84" s="150" t="s">
        <v>162</v>
      </c>
      <c r="H84" s="149">
        <f t="shared" si="29"/>
        <v>162</v>
      </c>
      <c r="I84" s="245" t="str">
        <f t="shared" si="30"/>
        <v>A2_B2_C2_D1_E2</v>
      </c>
      <c r="J84" s="66"/>
      <c r="K84" s="66"/>
      <c r="L84" s="66"/>
      <c r="M84" s="66"/>
    </row>
    <row r="85" spans="2:13" s="75" customFormat="1">
      <c r="B85" s="149" t="s">
        <v>17</v>
      </c>
      <c r="C85" s="149" t="s">
        <v>152</v>
      </c>
      <c r="D85" s="149" t="s">
        <v>151</v>
      </c>
      <c r="E85" s="150" t="s">
        <v>156</v>
      </c>
      <c r="F85" s="149" t="s">
        <v>159</v>
      </c>
      <c r="G85" s="150" t="s">
        <v>161</v>
      </c>
      <c r="H85" s="149">
        <f t="shared" si="29"/>
        <v>115</v>
      </c>
      <c r="I85" s="245" t="str">
        <f t="shared" si="30"/>
        <v>A2_B2_C2_D2_E1</v>
      </c>
      <c r="J85" s="66"/>
      <c r="K85" s="66"/>
      <c r="L85" s="66"/>
      <c r="M85" s="66"/>
    </row>
    <row r="86" spans="2:13" s="75" customFormat="1">
      <c r="B86" s="158" t="s">
        <v>17</v>
      </c>
      <c r="C86" s="158" t="s">
        <v>152</v>
      </c>
      <c r="D86" s="158" t="s">
        <v>151</v>
      </c>
      <c r="E86" s="159" t="s">
        <v>156</v>
      </c>
      <c r="F86" s="158" t="s">
        <v>159</v>
      </c>
      <c r="G86" s="159" t="s">
        <v>162</v>
      </c>
      <c r="H86" s="158">
        <f t="shared" si="29"/>
        <v>147.5</v>
      </c>
      <c r="I86" s="246" t="str">
        <f t="shared" si="30"/>
        <v>A2_B2_C2_D2_E2</v>
      </c>
      <c r="J86" s="66"/>
      <c r="K86" s="66"/>
      <c r="L86" s="66"/>
      <c r="M86" s="66"/>
    </row>
    <row r="87" spans="2:13" s="77" customFormat="1">
      <c r="B87" s="148" t="s">
        <v>18</v>
      </c>
      <c r="C87" s="148" t="s">
        <v>149</v>
      </c>
      <c r="D87" s="160" t="s">
        <v>150</v>
      </c>
      <c r="E87" s="147" t="s">
        <v>155</v>
      </c>
      <c r="F87" s="148" t="s">
        <v>158</v>
      </c>
      <c r="G87" s="147" t="s">
        <v>161</v>
      </c>
      <c r="H87" s="149">
        <f t="shared" ref="H87:H118" si="31">IF(I14="","",I14)</f>
        <v>99</v>
      </c>
      <c r="I87" s="244" t="str">
        <f t="shared" si="30"/>
        <v>A1_B1_C1_D1_E1</v>
      </c>
      <c r="J87" s="66"/>
      <c r="K87" s="66"/>
      <c r="L87" s="66"/>
      <c r="M87" s="66"/>
    </row>
    <row r="88" spans="2:13" s="77" customFormat="1">
      <c r="B88" s="149" t="s">
        <v>18</v>
      </c>
      <c r="C88" s="149" t="s">
        <v>149</v>
      </c>
      <c r="D88" s="153" t="s">
        <v>150</v>
      </c>
      <c r="E88" s="150" t="s">
        <v>155</v>
      </c>
      <c r="F88" s="149" t="s">
        <v>158</v>
      </c>
      <c r="G88" s="150" t="s">
        <v>162</v>
      </c>
      <c r="H88" s="149">
        <f t="shared" si="31"/>
        <v>191</v>
      </c>
      <c r="I88" s="245" t="str">
        <f t="shared" si="30"/>
        <v>A1_B1_C1_D1_E2</v>
      </c>
      <c r="J88" s="66"/>
      <c r="K88" s="66"/>
      <c r="L88" s="66"/>
      <c r="M88" s="66"/>
    </row>
    <row r="89" spans="2:13">
      <c r="B89" s="149" t="s">
        <v>18</v>
      </c>
      <c r="C89" s="149" t="s">
        <v>149</v>
      </c>
      <c r="D89" s="153" t="s">
        <v>150</v>
      </c>
      <c r="E89" s="150" t="s">
        <v>155</v>
      </c>
      <c r="F89" s="149" t="s">
        <v>159</v>
      </c>
      <c r="G89" s="150" t="s">
        <v>161</v>
      </c>
      <c r="H89" s="149">
        <f t="shared" si="31"/>
        <v>158</v>
      </c>
      <c r="I89" s="245" t="str">
        <f t="shared" si="30"/>
        <v>A1_B1_C1_D2_E1</v>
      </c>
    </row>
    <row r="90" spans="2:13">
      <c r="B90" s="149" t="s">
        <v>18</v>
      </c>
      <c r="C90" s="149" t="s">
        <v>149</v>
      </c>
      <c r="D90" s="153" t="s">
        <v>150</v>
      </c>
      <c r="E90" s="150" t="s">
        <v>155</v>
      </c>
      <c r="F90" s="149" t="s">
        <v>159</v>
      </c>
      <c r="G90" s="150" t="s">
        <v>162</v>
      </c>
      <c r="H90" s="149">
        <f t="shared" si="31"/>
        <v>186</v>
      </c>
      <c r="I90" s="245" t="str">
        <f t="shared" si="30"/>
        <v>A1_B1_C1_D2_E2</v>
      </c>
    </row>
    <row r="91" spans="2:13">
      <c r="B91" s="149" t="s">
        <v>18</v>
      </c>
      <c r="C91" s="149" t="s">
        <v>149</v>
      </c>
      <c r="D91" s="153" t="s">
        <v>150</v>
      </c>
      <c r="E91" s="150" t="s">
        <v>156</v>
      </c>
      <c r="F91" s="149" t="s">
        <v>158</v>
      </c>
      <c r="G91" s="150" t="s">
        <v>161</v>
      </c>
      <c r="H91" s="149">
        <f t="shared" si="31"/>
        <v>94.5</v>
      </c>
      <c r="I91" s="245" t="str">
        <f t="shared" si="30"/>
        <v>A1_B1_C2_D1_E1</v>
      </c>
    </row>
    <row r="92" spans="2:13">
      <c r="B92" s="149" t="s">
        <v>18</v>
      </c>
      <c r="C92" s="149" t="s">
        <v>149</v>
      </c>
      <c r="D92" s="153" t="s">
        <v>150</v>
      </c>
      <c r="E92" s="150" t="s">
        <v>156</v>
      </c>
      <c r="F92" s="149" t="s">
        <v>158</v>
      </c>
      <c r="G92" s="150" t="s">
        <v>162</v>
      </c>
      <c r="H92" s="149">
        <f t="shared" si="31"/>
        <v>141</v>
      </c>
      <c r="I92" s="245" t="str">
        <f t="shared" si="30"/>
        <v>A1_B1_C2_D1_E2</v>
      </c>
    </row>
    <row r="93" spans="2:13">
      <c r="B93" s="149" t="s">
        <v>18</v>
      </c>
      <c r="C93" s="149" t="s">
        <v>149</v>
      </c>
      <c r="D93" s="153" t="s">
        <v>150</v>
      </c>
      <c r="E93" s="150" t="s">
        <v>156</v>
      </c>
      <c r="F93" s="149" t="s">
        <v>159</v>
      </c>
      <c r="G93" s="150" t="s">
        <v>161</v>
      </c>
      <c r="H93" s="149">
        <f t="shared" si="31"/>
        <v>92</v>
      </c>
      <c r="I93" s="245" t="str">
        <f t="shared" si="30"/>
        <v>A1_B1_C2_D2_E1</v>
      </c>
    </row>
    <row r="94" spans="2:13">
      <c r="B94" s="149" t="s">
        <v>18</v>
      </c>
      <c r="C94" s="149" t="s">
        <v>149</v>
      </c>
      <c r="D94" s="153" t="s">
        <v>150</v>
      </c>
      <c r="E94" s="150" t="s">
        <v>156</v>
      </c>
      <c r="F94" s="149" t="s">
        <v>159</v>
      </c>
      <c r="G94" s="150" t="s">
        <v>162</v>
      </c>
      <c r="H94" s="149">
        <f t="shared" si="31"/>
        <v>117.5</v>
      </c>
      <c r="I94" s="245" t="str">
        <f t="shared" si="30"/>
        <v>A1_B1_C2_D2_E2</v>
      </c>
    </row>
    <row r="95" spans="2:13">
      <c r="B95" s="149" t="s">
        <v>18</v>
      </c>
      <c r="C95" s="149" t="s">
        <v>149</v>
      </c>
      <c r="D95" s="153" t="s">
        <v>151</v>
      </c>
      <c r="E95" s="150" t="s">
        <v>155</v>
      </c>
      <c r="F95" s="149" t="s">
        <v>158</v>
      </c>
      <c r="G95" s="150" t="s">
        <v>161</v>
      </c>
      <c r="H95" s="149">
        <f t="shared" si="31"/>
        <v>178.5</v>
      </c>
      <c r="I95" s="245" t="str">
        <f t="shared" si="30"/>
        <v>A1_B2_C1_D1_E1</v>
      </c>
    </row>
    <row r="96" spans="2:13">
      <c r="B96" s="149" t="s">
        <v>18</v>
      </c>
      <c r="C96" s="149" t="s">
        <v>149</v>
      </c>
      <c r="D96" s="149" t="s">
        <v>151</v>
      </c>
      <c r="E96" s="150" t="s">
        <v>155</v>
      </c>
      <c r="F96" s="149" t="s">
        <v>158</v>
      </c>
      <c r="G96" s="150" t="s">
        <v>162</v>
      </c>
      <c r="H96" s="149">
        <f t="shared" si="31"/>
        <v>220</v>
      </c>
      <c r="I96" s="245" t="str">
        <f t="shared" si="30"/>
        <v>A1_B2_C1_D1_E2</v>
      </c>
    </row>
    <row r="97" spans="2:9">
      <c r="B97" s="149" t="s">
        <v>18</v>
      </c>
      <c r="C97" s="149" t="s">
        <v>149</v>
      </c>
      <c r="D97" s="149" t="s">
        <v>151</v>
      </c>
      <c r="E97" s="150" t="s">
        <v>155</v>
      </c>
      <c r="F97" s="149" t="s">
        <v>159</v>
      </c>
      <c r="G97" s="150" t="s">
        <v>161</v>
      </c>
      <c r="H97" s="149">
        <f t="shared" si="31"/>
        <v>170.5</v>
      </c>
      <c r="I97" s="245" t="str">
        <f t="shared" si="30"/>
        <v>A1_B2_C1_D2_E1</v>
      </c>
    </row>
    <row r="98" spans="2:9">
      <c r="B98" s="151" t="s">
        <v>18</v>
      </c>
      <c r="C98" s="151" t="s">
        <v>149</v>
      </c>
      <c r="D98" s="151" t="s">
        <v>151</v>
      </c>
      <c r="E98" s="152" t="s">
        <v>155</v>
      </c>
      <c r="F98" s="151" t="s">
        <v>159</v>
      </c>
      <c r="G98" s="152" t="s">
        <v>162</v>
      </c>
      <c r="H98" s="149">
        <f t="shared" si="31"/>
        <v>198</v>
      </c>
      <c r="I98" s="245" t="str">
        <f t="shared" si="30"/>
        <v>A1_B2_C1_D2_E2</v>
      </c>
    </row>
    <row r="99" spans="2:9">
      <c r="B99" s="153" t="s">
        <v>18</v>
      </c>
      <c r="C99" s="153" t="s">
        <v>149</v>
      </c>
      <c r="D99" s="154" t="s">
        <v>151</v>
      </c>
      <c r="E99" s="155" t="s">
        <v>156</v>
      </c>
      <c r="F99" s="156" t="s">
        <v>158</v>
      </c>
      <c r="G99" s="157" t="s">
        <v>161</v>
      </c>
      <c r="H99" s="149">
        <f t="shared" si="31"/>
        <v>123.5</v>
      </c>
      <c r="I99" s="245" t="str">
        <f t="shared" si="30"/>
        <v>A1_B2_C2_D1_E1</v>
      </c>
    </row>
    <row r="100" spans="2:9">
      <c r="B100" s="153" t="s">
        <v>18</v>
      </c>
      <c r="C100" s="153" t="s">
        <v>149</v>
      </c>
      <c r="D100" s="154" t="s">
        <v>151</v>
      </c>
      <c r="E100" s="155" t="s">
        <v>156</v>
      </c>
      <c r="F100" s="156" t="s">
        <v>158</v>
      </c>
      <c r="G100" s="157" t="s">
        <v>162</v>
      </c>
      <c r="H100" s="149">
        <f t="shared" si="31"/>
        <v>157</v>
      </c>
      <c r="I100" s="245" t="str">
        <f t="shared" si="30"/>
        <v>A1_B2_C2_D1_E2</v>
      </c>
    </row>
    <row r="101" spans="2:9">
      <c r="B101" s="153" t="s">
        <v>18</v>
      </c>
      <c r="C101" s="153" t="s">
        <v>149</v>
      </c>
      <c r="D101" s="154" t="s">
        <v>151</v>
      </c>
      <c r="E101" s="155" t="s">
        <v>156</v>
      </c>
      <c r="F101" s="156" t="s">
        <v>159</v>
      </c>
      <c r="G101" s="157" t="s">
        <v>161</v>
      </c>
      <c r="H101" s="149">
        <f t="shared" si="31"/>
        <v>122</v>
      </c>
      <c r="I101" s="245" t="str">
        <f t="shared" si="30"/>
        <v>A1_B2_C2_D2_E1</v>
      </c>
    </row>
    <row r="102" spans="2:9">
      <c r="B102" s="153" t="s">
        <v>18</v>
      </c>
      <c r="C102" s="153" t="s">
        <v>149</v>
      </c>
      <c r="D102" s="154" t="s">
        <v>151</v>
      </c>
      <c r="E102" s="155" t="s">
        <v>156</v>
      </c>
      <c r="F102" s="156" t="s">
        <v>159</v>
      </c>
      <c r="G102" s="157" t="s">
        <v>162</v>
      </c>
      <c r="H102" s="149">
        <f t="shared" si="31"/>
        <v>140.5</v>
      </c>
      <c r="I102" s="245" t="str">
        <f t="shared" si="30"/>
        <v>A1_B2_C2_D2_E2</v>
      </c>
    </row>
    <row r="103" spans="2:9">
      <c r="B103" s="153" t="s">
        <v>18</v>
      </c>
      <c r="C103" s="153" t="s">
        <v>152</v>
      </c>
      <c r="D103" s="154" t="s">
        <v>150</v>
      </c>
      <c r="E103" s="155" t="s">
        <v>155</v>
      </c>
      <c r="F103" s="156" t="s">
        <v>158</v>
      </c>
      <c r="G103" s="157" t="s">
        <v>161</v>
      </c>
      <c r="H103" s="149">
        <f t="shared" si="31"/>
        <v>150.5</v>
      </c>
      <c r="I103" s="245" t="str">
        <f t="shared" si="30"/>
        <v>A2_B1_C1_D1_E1</v>
      </c>
    </row>
    <row r="104" spans="2:9">
      <c r="B104" s="153" t="s">
        <v>18</v>
      </c>
      <c r="C104" s="153" t="s">
        <v>152</v>
      </c>
      <c r="D104" s="154" t="s">
        <v>150</v>
      </c>
      <c r="E104" s="155" t="s">
        <v>155</v>
      </c>
      <c r="F104" s="156" t="s">
        <v>158</v>
      </c>
      <c r="G104" s="157" t="s">
        <v>162</v>
      </c>
      <c r="H104" s="149">
        <f t="shared" si="31"/>
        <v>184</v>
      </c>
      <c r="I104" s="245" t="str">
        <f t="shared" si="30"/>
        <v>A2_B1_C1_D1_E2</v>
      </c>
    </row>
    <row r="105" spans="2:9">
      <c r="B105" s="153" t="s">
        <v>18</v>
      </c>
      <c r="C105" s="153" t="s">
        <v>152</v>
      </c>
      <c r="D105" s="154" t="s">
        <v>150</v>
      </c>
      <c r="E105" s="155" t="s">
        <v>155</v>
      </c>
      <c r="F105" s="156" t="s">
        <v>159</v>
      </c>
      <c r="G105" s="157" t="s">
        <v>161</v>
      </c>
      <c r="H105" s="149">
        <f t="shared" si="31"/>
        <v>155</v>
      </c>
      <c r="I105" s="245" t="str">
        <f t="shared" si="30"/>
        <v>A2_B1_C1_D2_E1</v>
      </c>
    </row>
    <row r="106" spans="2:9">
      <c r="B106" s="153" t="s">
        <v>18</v>
      </c>
      <c r="C106" s="153" t="s">
        <v>152</v>
      </c>
      <c r="D106" s="154" t="s">
        <v>150</v>
      </c>
      <c r="E106" s="155" t="s">
        <v>155</v>
      </c>
      <c r="F106" s="156" t="s">
        <v>159</v>
      </c>
      <c r="G106" s="157" t="s">
        <v>162</v>
      </c>
      <c r="H106" s="149">
        <f t="shared" si="31"/>
        <v>171</v>
      </c>
      <c r="I106" s="245" t="str">
        <f t="shared" si="30"/>
        <v>A2_B1_C1_D2_E2</v>
      </c>
    </row>
    <row r="107" spans="2:9">
      <c r="B107" s="153" t="s">
        <v>18</v>
      </c>
      <c r="C107" s="153" t="s">
        <v>152</v>
      </c>
      <c r="D107" s="154" t="s">
        <v>150</v>
      </c>
      <c r="E107" s="155" t="s">
        <v>156</v>
      </c>
      <c r="F107" s="156" t="s">
        <v>158</v>
      </c>
      <c r="G107" s="157" t="s">
        <v>161</v>
      </c>
      <c r="H107" s="149">
        <f t="shared" si="31"/>
        <v>107.5</v>
      </c>
      <c r="I107" s="245" t="str">
        <f t="shared" si="30"/>
        <v>A2_B1_C2_D1_E1</v>
      </c>
    </row>
    <row r="108" spans="2:9">
      <c r="B108" s="153" t="s">
        <v>18</v>
      </c>
      <c r="C108" s="153" t="s">
        <v>152</v>
      </c>
      <c r="D108" s="154" t="s">
        <v>150</v>
      </c>
      <c r="E108" s="155" t="s">
        <v>156</v>
      </c>
      <c r="F108" s="156" t="s">
        <v>158</v>
      </c>
      <c r="G108" s="157" t="s">
        <v>162</v>
      </c>
      <c r="H108" s="149">
        <f t="shared" si="31"/>
        <v>139</v>
      </c>
      <c r="I108" s="245" t="str">
        <f t="shared" si="30"/>
        <v>A2_B1_C2_D1_E2</v>
      </c>
    </row>
    <row r="109" spans="2:9">
      <c r="B109" s="153" t="s">
        <v>18</v>
      </c>
      <c r="C109" s="153" t="s">
        <v>152</v>
      </c>
      <c r="D109" s="154" t="s">
        <v>150</v>
      </c>
      <c r="E109" s="155" t="s">
        <v>156</v>
      </c>
      <c r="F109" s="156" t="s">
        <v>159</v>
      </c>
      <c r="G109" s="157" t="s">
        <v>161</v>
      </c>
      <c r="H109" s="149">
        <f t="shared" si="31"/>
        <v>93</v>
      </c>
      <c r="I109" s="245" t="str">
        <f t="shared" si="30"/>
        <v>A2_B1_C2_D2_E1</v>
      </c>
    </row>
    <row r="110" spans="2:9">
      <c r="B110" s="153" t="s">
        <v>18</v>
      </c>
      <c r="C110" s="153" t="s">
        <v>152</v>
      </c>
      <c r="D110" s="154" t="s">
        <v>150</v>
      </c>
      <c r="E110" s="155" t="s">
        <v>156</v>
      </c>
      <c r="F110" s="156" t="s">
        <v>159</v>
      </c>
      <c r="G110" s="157" t="s">
        <v>162</v>
      </c>
      <c r="H110" s="149">
        <f t="shared" si="31"/>
        <v>120.5</v>
      </c>
      <c r="I110" s="245" t="str">
        <f t="shared" si="30"/>
        <v>A2_B1_C2_D2_E2</v>
      </c>
    </row>
    <row r="111" spans="2:9">
      <c r="B111" s="153" t="s">
        <v>18</v>
      </c>
      <c r="C111" s="153" t="s">
        <v>152</v>
      </c>
      <c r="D111" s="154" t="s">
        <v>151</v>
      </c>
      <c r="E111" s="155" t="s">
        <v>155</v>
      </c>
      <c r="F111" s="156" t="s">
        <v>158</v>
      </c>
      <c r="G111" s="157" t="s">
        <v>161</v>
      </c>
      <c r="H111" s="149">
        <f t="shared" si="31"/>
        <v>173.5</v>
      </c>
      <c r="I111" s="245" t="str">
        <f t="shared" si="30"/>
        <v>A2_B2_C1_D1_E1</v>
      </c>
    </row>
    <row r="112" spans="2:9">
      <c r="B112" s="153" t="s">
        <v>18</v>
      </c>
      <c r="C112" s="153" t="s">
        <v>152</v>
      </c>
      <c r="D112" s="154" t="s">
        <v>151</v>
      </c>
      <c r="E112" s="155" t="s">
        <v>155</v>
      </c>
      <c r="F112" s="156" t="s">
        <v>158</v>
      </c>
      <c r="G112" s="157" t="s">
        <v>162</v>
      </c>
      <c r="H112" s="149">
        <f t="shared" si="31"/>
        <v>219</v>
      </c>
      <c r="I112" s="245" t="str">
        <f t="shared" si="30"/>
        <v>A2_B2_C1_D1_E2</v>
      </c>
    </row>
    <row r="113" spans="2:9">
      <c r="B113" s="153" t="s">
        <v>18</v>
      </c>
      <c r="C113" s="153" t="s">
        <v>152</v>
      </c>
      <c r="D113" s="154" t="s">
        <v>151</v>
      </c>
      <c r="E113" s="155" t="s">
        <v>155</v>
      </c>
      <c r="F113" s="156" t="s">
        <v>159</v>
      </c>
      <c r="G113" s="157" t="s">
        <v>161</v>
      </c>
      <c r="H113" s="149">
        <f t="shared" si="31"/>
        <v>167.5</v>
      </c>
      <c r="I113" s="245" t="str">
        <f t="shared" si="30"/>
        <v>A2_B2_C1_D2_E1</v>
      </c>
    </row>
    <row r="114" spans="2:9">
      <c r="B114" s="153" t="s">
        <v>18</v>
      </c>
      <c r="C114" s="153" t="s">
        <v>152</v>
      </c>
      <c r="D114" s="154" t="s">
        <v>151</v>
      </c>
      <c r="E114" s="155" t="s">
        <v>155</v>
      </c>
      <c r="F114" s="149" t="s">
        <v>159</v>
      </c>
      <c r="G114" s="150" t="s">
        <v>162</v>
      </c>
      <c r="H114" s="149">
        <f t="shared" si="31"/>
        <v>189</v>
      </c>
      <c r="I114" s="245" t="str">
        <f t="shared" si="30"/>
        <v>A2_B2_C1_D2_E2</v>
      </c>
    </row>
    <row r="115" spans="2:9">
      <c r="B115" s="153" t="s">
        <v>18</v>
      </c>
      <c r="C115" s="153" t="s">
        <v>152</v>
      </c>
      <c r="D115" s="154" t="s">
        <v>151</v>
      </c>
      <c r="E115" s="155" t="s">
        <v>156</v>
      </c>
      <c r="F115" s="149" t="s">
        <v>158</v>
      </c>
      <c r="G115" s="150" t="s">
        <v>161</v>
      </c>
      <c r="H115" s="149">
        <f t="shared" si="31"/>
        <v>114.5</v>
      </c>
      <c r="I115" s="245" t="str">
        <f t="shared" si="30"/>
        <v>A2_B2_C2_D1_E1</v>
      </c>
    </row>
    <row r="116" spans="2:9">
      <c r="B116" s="149" t="s">
        <v>18</v>
      </c>
      <c r="C116" s="149" t="s">
        <v>152</v>
      </c>
      <c r="D116" s="149" t="s">
        <v>151</v>
      </c>
      <c r="E116" s="150" t="s">
        <v>156</v>
      </c>
      <c r="F116" s="149" t="s">
        <v>158</v>
      </c>
      <c r="G116" s="150" t="s">
        <v>162</v>
      </c>
      <c r="H116" s="149">
        <f t="shared" si="31"/>
        <v>171</v>
      </c>
      <c r="I116" s="245" t="str">
        <f t="shared" si="30"/>
        <v>A2_B2_C2_D1_E2</v>
      </c>
    </row>
    <row r="117" spans="2:9">
      <c r="B117" s="149" t="s">
        <v>18</v>
      </c>
      <c r="C117" s="149" t="s">
        <v>152</v>
      </c>
      <c r="D117" s="149" t="s">
        <v>151</v>
      </c>
      <c r="E117" s="150" t="s">
        <v>156</v>
      </c>
      <c r="F117" s="149" t="s">
        <v>159</v>
      </c>
      <c r="G117" s="150" t="s">
        <v>161</v>
      </c>
      <c r="H117" s="149">
        <f t="shared" si="31"/>
        <v>125</v>
      </c>
      <c r="I117" s="245" t="str">
        <f t="shared" si="30"/>
        <v>A2_B2_C2_D2_E1</v>
      </c>
    </row>
    <row r="118" spans="2:9">
      <c r="B118" s="158" t="s">
        <v>18</v>
      </c>
      <c r="C118" s="158" t="s">
        <v>152</v>
      </c>
      <c r="D118" s="158" t="s">
        <v>151</v>
      </c>
      <c r="E118" s="159" t="s">
        <v>156</v>
      </c>
      <c r="F118" s="158" t="s">
        <v>159</v>
      </c>
      <c r="G118" s="159" t="s">
        <v>162</v>
      </c>
      <c r="H118" s="158">
        <f t="shared" si="31"/>
        <v>137.5</v>
      </c>
      <c r="I118" s="246" t="str">
        <f t="shared" si="30"/>
        <v>A2_B2_C2_D2_E2</v>
      </c>
    </row>
    <row r="119" spans="2:9">
      <c r="B119" s="148" t="s">
        <v>19</v>
      </c>
      <c r="C119" s="148" t="s">
        <v>149</v>
      </c>
      <c r="D119" s="160" t="s">
        <v>150</v>
      </c>
      <c r="E119" s="147" t="s">
        <v>155</v>
      </c>
      <c r="F119" s="148" t="s">
        <v>158</v>
      </c>
      <c r="G119" s="147" t="s">
        <v>161</v>
      </c>
      <c r="H119" s="149" t="str">
        <f t="shared" ref="H119:H150" si="32">IF(J14="","",J14)</f>
        <v/>
      </c>
      <c r="I119" s="244" t="str">
        <f t="shared" si="30"/>
        <v/>
      </c>
    </row>
    <row r="120" spans="2:9">
      <c r="B120" s="149" t="s">
        <v>19</v>
      </c>
      <c r="C120" s="149" t="s">
        <v>149</v>
      </c>
      <c r="D120" s="153" t="s">
        <v>150</v>
      </c>
      <c r="E120" s="150" t="s">
        <v>155</v>
      </c>
      <c r="F120" s="149" t="s">
        <v>158</v>
      </c>
      <c r="G120" s="150" t="s">
        <v>162</v>
      </c>
      <c r="H120" s="149" t="str">
        <f t="shared" si="32"/>
        <v/>
      </c>
      <c r="I120" s="245" t="str">
        <f t="shared" ref="I120:I183" si="33">IF(H120="","",CONCATENATE(C120,"_",D120,"_",E120,"_",F120,"_",G120))</f>
        <v/>
      </c>
    </row>
    <row r="121" spans="2:9">
      <c r="B121" s="149" t="s">
        <v>19</v>
      </c>
      <c r="C121" s="149" t="s">
        <v>149</v>
      </c>
      <c r="D121" s="153" t="s">
        <v>150</v>
      </c>
      <c r="E121" s="150" t="s">
        <v>155</v>
      </c>
      <c r="F121" s="149" t="s">
        <v>159</v>
      </c>
      <c r="G121" s="150" t="s">
        <v>161</v>
      </c>
      <c r="H121" s="149" t="str">
        <f t="shared" si="32"/>
        <v/>
      </c>
      <c r="I121" s="245" t="str">
        <f t="shared" si="33"/>
        <v/>
      </c>
    </row>
    <row r="122" spans="2:9">
      <c r="B122" s="149" t="s">
        <v>19</v>
      </c>
      <c r="C122" s="149" t="s">
        <v>149</v>
      </c>
      <c r="D122" s="153" t="s">
        <v>150</v>
      </c>
      <c r="E122" s="150" t="s">
        <v>155</v>
      </c>
      <c r="F122" s="149" t="s">
        <v>159</v>
      </c>
      <c r="G122" s="150" t="s">
        <v>162</v>
      </c>
      <c r="H122" s="149" t="str">
        <f t="shared" si="32"/>
        <v/>
      </c>
      <c r="I122" s="245" t="str">
        <f t="shared" si="33"/>
        <v/>
      </c>
    </row>
    <row r="123" spans="2:9">
      <c r="B123" s="149" t="s">
        <v>19</v>
      </c>
      <c r="C123" s="149" t="s">
        <v>149</v>
      </c>
      <c r="D123" s="153" t="s">
        <v>150</v>
      </c>
      <c r="E123" s="150" t="s">
        <v>156</v>
      </c>
      <c r="F123" s="149" t="s">
        <v>158</v>
      </c>
      <c r="G123" s="150" t="s">
        <v>161</v>
      </c>
      <c r="H123" s="149" t="str">
        <f t="shared" si="32"/>
        <v/>
      </c>
      <c r="I123" s="245" t="str">
        <f t="shared" si="33"/>
        <v/>
      </c>
    </row>
    <row r="124" spans="2:9">
      <c r="B124" s="149" t="s">
        <v>19</v>
      </c>
      <c r="C124" s="149" t="s">
        <v>149</v>
      </c>
      <c r="D124" s="153" t="s">
        <v>150</v>
      </c>
      <c r="E124" s="150" t="s">
        <v>156</v>
      </c>
      <c r="F124" s="149" t="s">
        <v>158</v>
      </c>
      <c r="G124" s="150" t="s">
        <v>162</v>
      </c>
      <c r="H124" s="149" t="str">
        <f t="shared" si="32"/>
        <v/>
      </c>
      <c r="I124" s="245" t="str">
        <f t="shared" si="33"/>
        <v/>
      </c>
    </row>
    <row r="125" spans="2:9">
      <c r="B125" s="149" t="s">
        <v>19</v>
      </c>
      <c r="C125" s="149" t="s">
        <v>149</v>
      </c>
      <c r="D125" s="153" t="s">
        <v>150</v>
      </c>
      <c r="E125" s="150" t="s">
        <v>156</v>
      </c>
      <c r="F125" s="149" t="s">
        <v>159</v>
      </c>
      <c r="G125" s="150" t="s">
        <v>161</v>
      </c>
      <c r="H125" s="149" t="str">
        <f t="shared" si="32"/>
        <v/>
      </c>
      <c r="I125" s="245" t="str">
        <f t="shared" si="33"/>
        <v/>
      </c>
    </row>
    <row r="126" spans="2:9">
      <c r="B126" s="149" t="s">
        <v>19</v>
      </c>
      <c r="C126" s="149" t="s">
        <v>149</v>
      </c>
      <c r="D126" s="153" t="s">
        <v>150</v>
      </c>
      <c r="E126" s="150" t="s">
        <v>156</v>
      </c>
      <c r="F126" s="149" t="s">
        <v>159</v>
      </c>
      <c r="G126" s="150" t="s">
        <v>162</v>
      </c>
      <c r="H126" s="149" t="str">
        <f t="shared" si="32"/>
        <v/>
      </c>
      <c r="I126" s="245" t="str">
        <f t="shared" si="33"/>
        <v/>
      </c>
    </row>
    <row r="127" spans="2:9">
      <c r="B127" s="149" t="s">
        <v>19</v>
      </c>
      <c r="C127" s="149" t="s">
        <v>149</v>
      </c>
      <c r="D127" s="153" t="s">
        <v>151</v>
      </c>
      <c r="E127" s="150" t="s">
        <v>155</v>
      </c>
      <c r="F127" s="149" t="s">
        <v>158</v>
      </c>
      <c r="G127" s="150" t="s">
        <v>161</v>
      </c>
      <c r="H127" s="149" t="str">
        <f t="shared" si="32"/>
        <v/>
      </c>
      <c r="I127" s="245" t="str">
        <f t="shared" si="33"/>
        <v/>
      </c>
    </row>
    <row r="128" spans="2:9">
      <c r="B128" s="149" t="s">
        <v>19</v>
      </c>
      <c r="C128" s="149" t="s">
        <v>149</v>
      </c>
      <c r="D128" s="149" t="s">
        <v>151</v>
      </c>
      <c r="E128" s="150" t="s">
        <v>155</v>
      </c>
      <c r="F128" s="149" t="s">
        <v>158</v>
      </c>
      <c r="G128" s="150" t="s">
        <v>162</v>
      </c>
      <c r="H128" s="149" t="str">
        <f t="shared" si="32"/>
        <v/>
      </c>
      <c r="I128" s="245" t="str">
        <f t="shared" si="33"/>
        <v/>
      </c>
    </row>
    <row r="129" spans="2:9">
      <c r="B129" s="149" t="s">
        <v>19</v>
      </c>
      <c r="C129" s="149" t="s">
        <v>149</v>
      </c>
      <c r="D129" s="149" t="s">
        <v>151</v>
      </c>
      <c r="E129" s="150" t="s">
        <v>155</v>
      </c>
      <c r="F129" s="149" t="s">
        <v>159</v>
      </c>
      <c r="G129" s="150" t="s">
        <v>161</v>
      </c>
      <c r="H129" s="149" t="str">
        <f t="shared" si="32"/>
        <v/>
      </c>
      <c r="I129" s="245" t="str">
        <f t="shared" si="33"/>
        <v/>
      </c>
    </row>
    <row r="130" spans="2:9">
      <c r="B130" s="151" t="s">
        <v>19</v>
      </c>
      <c r="C130" s="151" t="s">
        <v>149</v>
      </c>
      <c r="D130" s="151" t="s">
        <v>151</v>
      </c>
      <c r="E130" s="152" t="s">
        <v>155</v>
      </c>
      <c r="F130" s="151" t="s">
        <v>159</v>
      </c>
      <c r="G130" s="152" t="s">
        <v>162</v>
      </c>
      <c r="H130" s="149" t="str">
        <f t="shared" si="32"/>
        <v/>
      </c>
      <c r="I130" s="245" t="str">
        <f t="shared" si="33"/>
        <v/>
      </c>
    </row>
    <row r="131" spans="2:9">
      <c r="B131" s="153" t="s">
        <v>19</v>
      </c>
      <c r="C131" s="153" t="s">
        <v>149</v>
      </c>
      <c r="D131" s="154" t="s">
        <v>151</v>
      </c>
      <c r="E131" s="155" t="s">
        <v>156</v>
      </c>
      <c r="F131" s="156" t="s">
        <v>158</v>
      </c>
      <c r="G131" s="157" t="s">
        <v>161</v>
      </c>
      <c r="H131" s="149" t="str">
        <f t="shared" si="32"/>
        <v/>
      </c>
      <c r="I131" s="245" t="str">
        <f t="shared" si="33"/>
        <v/>
      </c>
    </row>
    <row r="132" spans="2:9">
      <c r="B132" s="153" t="s">
        <v>19</v>
      </c>
      <c r="C132" s="153" t="s">
        <v>149</v>
      </c>
      <c r="D132" s="154" t="s">
        <v>151</v>
      </c>
      <c r="E132" s="155" t="s">
        <v>156</v>
      </c>
      <c r="F132" s="156" t="s">
        <v>158</v>
      </c>
      <c r="G132" s="157" t="s">
        <v>162</v>
      </c>
      <c r="H132" s="149" t="str">
        <f t="shared" si="32"/>
        <v/>
      </c>
      <c r="I132" s="245" t="str">
        <f t="shared" si="33"/>
        <v/>
      </c>
    </row>
    <row r="133" spans="2:9">
      <c r="B133" s="153" t="s">
        <v>19</v>
      </c>
      <c r="C133" s="153" t="s">
        <v>149</v>
      </c>
      <c r="D133" s="154" t="s">
        <v>151</v>
      </c>
      <c r="E133" s="155" t="s">
        <v>156</v>
      </c>
      <c r="F133" s="156" t="s">
        <v>159</v>
      </c>
      <c r="G133" s="157" t="s">
        <v>161</v>
      </c>
      <c r="H133" s="149" t="str">
        <f t="shared" si="32"/>
        <v/>
      </c>
      <c r="I133" s="245" t="str">
        <f t="shared" si="33"/>
        <v/>
      </c>
    </row>
    <row r="134" spans="2:9">
      <c r="B134" s="153" t="s">
        <v>19</v>
      </c>
      <c r="C134" s="153" t="s">
        <v>149</v>
      </c>
      <c r="D134" s="154" t="s">
        <v>151</v>
      </c>
      <c r="E134" s="155" t="s">
        <v>156</v>
      </c>
      <c r="F134" s="156" t="s">
        <v>159</v>
      </c>
      <c r="G134" s="157" t="s">
        <v>162</v>
      </c>
      <c r="H134" s="149" t="str">
        <f t="shared" si="32"/>
        <v/>
      </c>
      <c r="I134" s="245" t="str">
        <f t="shared" si="33"/>
        <v/>
      </c>
    </row>
    <row r="135" spans="2:9">
      <c r="B135" s="153" t="s">
        <v>19</v>
      </c>
      <c r="C135" s="153" t="s">
        <v>152</v>
      </c>
      <c r="D135" s="154" t="s">
        <v>150</v>
      </c>
      <c r="E135" s="155" t="s">
        <v>155</v>
      </c>
      <c r="F135" s="156" t="s">
        <v>158</v>
      </c>
      <c r="G135" s="157" t="s">
        <v>161</v>
      </c>
      <c r="H135" s="149" t="str">
        <f t="shared" si="32"/>
        <v/>
      </c>
      <c r="I135" s="245" t="str">
        <f t="shared" si="33"/>
        <v/>
      </c>
    </row>
    <row r="136" spans="2:9">
      <c r="B136" s="153" t="s">
        <v>19</v>
      </c>
      <c r="C136" s="153" t="s">
        <v>152</v>
      </c>
      <c r="D136" s="154" t="s">
        <v>150</v>
      </c>
      <c r="E136" s="155" t="s">
        <v>155</v>
      </c>
      <c r="F136" s="156" t="s">
        <v>158</v>
      </c>
      <c r="G136" s="157" t="s">
        <v>162</v>
      </c>
      <c r="H136" s="149" t="str">
        <f t="shared" si="32"/>
        <v/>
      </c>
      <c r="I136" s="245" t="str">
        <f t="shared" si="33"/>
        <v/>
      </c>
    </row>
    <row r="137" spans="2:9">
      <c r="B137" s="153" t="s">
        <v>19</v>
      </c>
      <c r="C137" s="153" t="s">
        <v>152</v>
      </c>
      <c r="D137" s="154" t="s">
        <v>150</v>
      </c>
      <c r="E137" s="155" t="s">
        <v>155</v>
      </c>
      <c r="F137" s="156" t="s">
        <v>159</v>
      </c>
      <c r="G137" s="157" t="s">
        <v>161</v>
      </c>
      <c r="H137" s="149" t="str">
        <f t="shared" si="32"/>
        <v/>
      </c>
      <c r="I137" s="245" t="str">
        <f t="shared" si="33"/>
        <v/>
      </c>
    </row>
    <row r="138" spans="2:9">
      <c r="B138" s="153" t="s">
        <v>19</v>
      </c>
      <c r="C138" s="153" t="s">
        <v>152</v>
      </c>
      <c r="D138" s="154" t="s">
        <v>150</v>
      </c>
      <c r="E138" s="155" t="s">
        <v>155</v>
      </c>
      <c r="F138" s="156" t="s">
        <v>159</v>
      </c>
      <c r="G138" s="157" t="s">
        <v>162</v>
      </c>
      <c r="H138" s="149" t="str">
        <f t="shared" si="32"/>
        <v/>
      </c>
      <c r="I138" s="245" t="str">
        <f t="shared" si="33"/>
        <v/>
      </c>
    </row>
    <row r="139" spans="2:9">
      <c r="B139" s="153" t="s">
        <v>19</v>
      </c>
      <c r="C139" s="153" t="s">
        <v>152</v>
      </c>
      <c r="D139" s="154" t="s">
        <v>150</v>
      </c>
      <c r="E139" s="155" t="s">
        <v>156</v>
      </c>
      <c r="F139" s="156" t="s">
        <v>158</v>
      </c>
      <c r="G139" s="157" t="s">
        <v>161</v>
      </c>
      <c r="H139" s="149" t="str">
        <f t="shared" si="32"/>
        <v/>
      </c>
      <c r="I139" s="245" t="str">
        <f t="shared" si="33"/>
        <v/>
      </c>
    </row>
    <row r="140" spans="2:9">
      <c r="B140" s="153" t="s">
        <v>19</v>
      </c>
      <c r="C140" s="153" t="s">
        <v>152</v>
      </c>
      <c r="D140" s="154" t="s">
        <v>150</v>
      </c>
      <c r="E140" s="155" t="s">
        <v>156</v>
      </c>
      <c r="F140" s="156" t="s">
        <v>158</v>
      </c>
      <c r="G140" s="157" t="s">
        <v>162</v>
      </c>
      <c r="H140" s="149" t="str">
        <f t="shared" si="32"/>
        <v/>
      </c>
      <c r="I140" s="245" t="str">
        <f t="shared" si="33"/>
        <v/>
      </c>
    </row>
    <row r="141" spans="2:9">
      <c r="B141" s="153" t="s">
        <v>19</v>
      </c>
      <c r="C141" s="153" t="s">
        <v>152</v>
      </c>
      <c r="D141" s="154" t="s">
        <v>150</v>
      </c>
      <c r="E141" s="155" t="s">
        <v>156</v>
      </c>
      <c r="F141" s="156" t="s">
        <v>159</v>
      </c>
      <c r="G141" s="157" t="s">
        <v>161</v>
      </c>
      <c r="H141" s="149" t="str">
        <f t="shared" si="32"/>
        <v/>
      </c>
      <c r="I141" s="245" t="str">
        <f t="shared" si="33"/>
        <v/>
      </c>
    </row>
    <row r="142" spans="2:9">
      <c r="B142" s="153" t="s">
        <v>19</v>
      </c>
      <c r="C142" s="153" t="s">
        <v>152</v>
      </c>
      <c r="D142" s="154" t="s">
        <v>150</v>
      </c>
      <c r="E142" s="155" t="s">
        <v>156</v>
      </c>
      <c r="F142" s="156" t="s">
        <v>159</v>
      </c>
      <c r="G142" s="157" t="s">
        <v>162</v>
      </c>
      <c r="H142" s="149" t="str">
        <f t="shared" si="32"/>
        <v/>
      </c>
      <c r="I142" s="245" t="str">
        <f t="shared" si="33"/>
        <v/>
      </c>
    </row>
    <row r="143" spans="2:9">
      <c r="B143" s="153" t="s">
        <v>19</v>
      </c>
      <c r="C143" s="153" t="s">
        <v>152</v>
      </c>
      <c r="D143" s="154" t="s">
        <v>151</v>
      </c>
      <c r="E143" s="155" t="s">
        <v>155</v>
      </c>
      <c r="F143" s="156" t="s">
        <v>158</v>
      </c>
      <c r="G143" s="157" t="s">
        <v>161</v>
      </c>
      <c r="H143" s="149" t="str">
        <f t="shared" si="32"/>
        <v/>
      </c>
      <c r="I143" s="245" t="str">
        <f t="shared" si="33"/>
        <v/>
      </c>
    </row>
    <row r="144" spans="2:9">
      <c r="B144" s="153" t="s">
        <v>19</v>
      </c>
      <c r="C144" s="153" t="s">
        <v>152</v>
      </c>
      <c r="D144" s="154" t="s">
        <v>151</v>
      </c>
      <c r="E144" s="155" t="s">
        <v>155</v>
      </c>
      <c r="F144" s="156" t="s">
        <v>158</v>
      </c>
      <c r="G144" s="157" t="s">
        <v>162</v>
      </c>
      <c r="H144" s="149" t="str">
        <f t="shared" si="32"/>
        <v/>
      </c>
      <c r="I144" s="245" t="str">
        <f t="shared" si="33"/>
        <v/>
      </c>
    </row>
    <row r="145" spans="2:9">
      <c r="B145" s="153" t="s">
        <v>19</v>
      </c>
      <c r="C145" s="153" t="s">
        <v>152</v>
      </c>
      <c r="D145" s="154" t="s">
        <v>151</v>
      </c>
      <c r="E145" s="155" t="s">
        <v>155</v>
      </c>
      <c r="F145" s="156" t="s">
        <v>159</v>
      </c>
      <c r="G145" s="157" t="s">
        <v>161</v>
      </c>
      <c r="H145" s="149" t="str">
        <f t="shared" si="32"/>
        <v/>
      </c>
      <c r="I145" s="245" t="str">
        <f t="shared" si="33"/>
        <v/>
      </c>
    </row>
    <row r="146" spans="2:9">
      <c r="B146" s="153" t="s">
        <v>19</v>
      </c>
      <c r="C146" s="153" t="s">
        <v>152</v>
      </c>
      <c r="D146" s="154" t="s">
        <v>151</v>
      </c>
      <c r="E146" s="155" t="s">
        <v>155</v>
      </c>
      <c r="F146" s="149" t="s">
        <v>159</v>
      </c>
      <c r="G146" s="150" t="s">
        <v>162</v>
      </c>
      <c r="H146" s="149" t="str">
        <f t="shared" si="32"/>
        <v/>
      </c>
      <c r="I146" s="245" t="str">
        <f t="shared" si="33"/>
        <v/>
      </c>
    </row>
    <row r="147" spans="2:9">
      <c r="B147" s="153" t="s">
        <v>19</v>
      </c>
      <c r="C147" s="153" t="s">
        <v>152</v>
      </c>
      <c r="D147" s="154" t="s">
        <v>151</v>
      </c>
      <c r="E147" s="155" t="s">
        <v>156</v>
      </c>
      <c r="F147" s="149" t="s">
        <v>158</v>
      </c>
      <c r="G147" s="150" t="s">
        <v>161</v>
      </c>
      <c r="H147" s="149" t="str">
        <f t="shared" si="32"/>
        <v/>
      </c>
      <c r="I147" s="245" t="str">
        <f t="shared" si="33"/>
        <v/>
      </c>
    </row>
    <row r="148" spans="2:9">
      <c r="B148" s="149" t="s">
        <v>19</v>
      </c>
      <c r="C148" s="149" t="s">
        <v>152</v>
      </c>
      <c r="D148" s="149" t="s">
        <v>151</v>
      </c>
      <c r="E148" s="150" t="s">
        <v>156</v>
      </c>
      <c r="F148" s="149" t="s">
        <v>158</v>
      </c>
      <c r="G148" s="150" t="s">
        <v>162</v>
      </c>
      <c r="H148" s="149" t="str">
        <f t="shared" si="32"/>
        <v/>
      </c>
      <c r="I148" s="245" t="str">
        <f t="shared" si="33"/>
        <v/>
      </c>
    </row>
    <row r="149" spans="2:9">
      <c r="B149" s="149" t="s">
        <v>19</v>
      </c>
      <c r="C149" s="149" t="s">
        <v>152</v>
      </c>
      <c r="D149" s="149" t="s">
        <v>151</v>
      </c>
      <c r="E149" s="150" t="s">
        <v>156</v>
      </c>
      <c r="F149" s="149" t="s">
        <v>159</v>
      </c>
      <c r="G149" s="150" t="s">
        <v>161</v>
      </c>
      <c r="H149" s="149" t="str">
        <f t="shared" si="32"/>
        <v/>
      </c>
      <c r="I149" s="245" t="str">
        <f t="shared" si="33"/>
        <v/>
      </c>
    </row>
    <row r="150" spans="2:9">
      <c r="B150" s="158" t="s">
        <v>19</v>
      </c>
      <c r="C150" s="158" t="s">
        <v>152</v>
      </c>
      <c r="D150" s="158" t="s">
        <v>151</v>
      </c>
      <c r="E150" s="159" t="s">
        <v>156</v>
      </c>
      <c r="F150" s="158" t="s">
        <v>159</v>
      </c>
      <c r="G150" s="159" t="s">
        <v>162</v>
      </c>
      <c r="H150" s="158" t="str">
        <f t="shared" si="32"/>
        <v/>
      </c>
      <c r="I150" s="246" t="str">
        <f t="shared" si="33"/>
        <v/>
      </c>
    </row>
    <row r="151" spans="2:9">
      <c r="B151" s="148" t="s">
        <v>20</v>
      </c>
      <c r="C151" s="148" t="s">
        <v>149</v>
      </c>
      <c r="D151" s="160" t="s">
        <v>150</v>
      </c>
      <c r="E151" s="147" t="s">
        <v>155</v>
      </c>
      <c r="F151" s="148" t="s">
        <v>158</v>
      </c>
      <c r="G151" s="147" t="s">
        <v>161</v>
      </c>
      <c r="H151" s="149" t="str">
        <f t="shared" ref="H151:H182" si="34">IF(K14="","",K14)</f>
        <v/>
      </c>
      <c r="I151" s="244" t="str">
        <f t="shared" si="33"/>
        <v/>
      </c>
    </row>
    <row r="152" spans="2:9">
      <c r="B152" s="149" t="s">
        <v>20</v>
      </c>
      <c r="C152" s="149" t="s">
        <v>149</v>
      </c>
      <c r="D152" s="153" t="s">
        <v>150</v>
      </c>
      <c r="E152" s="150" t="s">
        <v>155</v>
      </c>
      <c r="F152" s="149" t="s">
        <v>158</v>
      </c>
      <c r="G152" s="150" t="s">
        <v>162</v>
      </c>
      <c r="H152" s="149" t="str">
        <f t="shared" si="34"/>
        <v/>
      </c>
      <c r="I152" s="245" t="str">
        <f t="shared" si="33"/>
        <v/>
      </c>
    </row>
    <row r="153" spans="2:9">
      <c r="B153" s="149" t="s">
        <v>20</v>
      </c>
      <c r="C153" s="149" t="s">
        <v>149</v>
      </c>
      <c r="D153" s="153" t="s">
        <v>150</v>
      </c>
      <c r="E153" s="150" t="s">
        <v>155</v>
      </c>
      <c r="F153" s="149" t="s">
        <v>159</v>
      </c>
      <c r="G153" s="150" t="s">
        <v>161</v>
      </c>
      <c r="H153" s="149" t="str">
        <f t="shared" si="34"/>
        <v/>
      </c>
      <c r="I153" s="245" t="str">
        <f t="shared" si="33"/>
        <v/>
      </c>
    </row>
    <row r="154" spans="2:9">
      <c r="B154" s="149" t="s">
        <v>20</v>
      </c>
      <c r="C154" s="149" t="s">
        <v>149</v>
      </c>
      <c r="D154" s="153" t="s">
        <v>150</v>
      </c>
      <c r="E154" s="150" t="s">
        <v>155</v>
      </c>
      <c r="F154" s="149" t="s">
        <v>159</v>
      </c>
      <c r="G154" s="150" t="s">
        <v>162</v>
      </c>
      <c r="H154" s="149" t="str">
        <f t="shared" si="34"/>
        <v/>
      </c>
      <c r="I154" s="245" t="str">
        <f t="shared" si="33"/>
        <v/>
      </c>
    </row>
    <row r="155" spans="2:9">
      <c r="B155" s="149" t="s">
        <v>20</v>
      </c>
      <c r="C155" s="149" t="s">
        <v>149</v>
      </c>
      <c r="D155" s="153" t="s">
        <v>150</v>
      </c>
      <c r="E155" s="150" t="s">
        <v>156</v>
      </c>
      <c r="F155" s="149" t="s">
        <v>158</v>
      </c>
      <c r="G155" s="150" t="s">
        <v>161</v>
      </c>
      <c r="H155" s="149" t="str">
        <f t="shared" si="34"/>
        <v/>
      </c>
      <c r="I155" s="245" t="str">
        <f t="shared" si="33"/>
        <v/>
      </c>
    </row>
    <row r="156" spans="2:9">
      <c r="B156" s="149" t="s">
        <v>20</v>
      </c>
      <c r="C156" s="149" t="s">
        <v>149</v>
      </c>
      <c r="D156" s="153" t="s">
        <v>150</v>
      </c>
      <c r="E156" s="150" t="s">
        <v>156</v>
      </c>
      <c r="F156" s="149" t="s">
        <v>158</v>
      </c>
      <c r="G156" s="150" t="s">
        <v>162</v>
      </c>
      <c r="H156" s="149" t="str">
        <f t="shared" si="34"/>
        <v/>
      </c>
      <c r="I156" s="245" t="str">
        <f t="shared" si="33"/>
        <v/>
      </c>
    </row>
    <row r="157" spans="2:9">
      <c r="B157" s="149" t="s">
        <v>20</v>
      </c>
      <c r="C157" s="149" t="s">
        <v>149</v>
      </c>
      <c r="D157" s="153" t="s">
        <v>150</v>
      </c>
      <c r="E157" s="150" t="s">
        <v>156</v>
      </c>
      <c r="F157" s="149" t="s">
        <v>159</v>
      </c>
      <c r="G157" s="150" t="s">
        <v>161</v>
      </c>
      <c r="H157" s="149" t="str">
        <f t="shared" si="34"/>
        <v/>
      </c>
      <c r="I157" s="245" t="str">
        <f t="shared" si="33"/>
        <v/>
      </c>
    </row>
    <row r="158" spans="2:9">
      <c r="B158" s="149" t="s">
        <v>20</v>
      </c>
      <c r="C158" s="149" t="s">
        <v>149</v>
      </c>
      <c r="D158" s="153" t="s">
        <v>150</v>
      </c>
      <c r="E158" s="150" t="s">
        <v>156</v>
      </c>
      <c r="F158" s="149" t="s">
        <v>159</v>
      </c>
      <c r="G158" s="150" t="s">
        <v>162</v>
      </c>
      <c r="H158" s="149" t="str">
        <f t="shared" si="34"/>
        <v/>
      </c>
      <c r="I158" s="245" t="str">
        <f t="shared" si="33"/>
        <v/>
      </c>
    </row>
    <row r="159" spans="2:9">
      <c r="B159" s="149" t="s">
        <v>20</v>
      </c>
      <c r="C159" s="149" t="s">
        <v>149</v>
      </c>
      <c r="D159" s="153" t="s">
        <v>151</v>
      </c>
      <c r="E159" s="150" t="s">
        <v>155</v>
      </c>
      <c r="F159" s="149" t="s">
        <v>158</v>
      </c>
      <c r="G159" s="150" t="s">
        <v>161</v>
      </c>
      <c r="H159" s="149" t="str">
        <f t="shared" si="34"/>
        <v/>
      </c>
      <c r="I159" s="245" t="str">
        <f t="shared" si="33"/>
        <v/>
      </c>
    </row>
    <row r="160" spans="2:9">
      <c r="B160" s="149" t="s">
        <v>20</v>
      </c>
      <c r="C160" s="149" t="s">
        <v>149</v>
      </c>
      <c r="D160" s="149" t="s">
        <v>151</v>
      </c>
      <c r="E160" s="150" t="s">
        <v>155</v>
      </c>
      <c r="F160" s="149" t="s">
        <v>158</v>
      </c>
      <c r="G160" s="150" t="s">
        <v>162</v>
      </c>
      <c r="H160" s="149" t="str">
        <f t="shared" si="34"/>
        <v/>
      </c>
      <c r="I160" s="245" t="str">
        <f t="shared" si="33"/>
        <v/>
      </c>
    </row>
    <row r="161" spans="2:9">
      <c r="B161" s="149" t="s">
        <v>20</v>
      </c>
      <c r="C161" s="149" t="s">
        <v>149</v>
      </c>
      <c r="D161" s="149" t="s">
        <v>151</v>
      </c>
      <c r="E161" s="150" t="s">
        <v>155</v>
      </c>
      <c r="F161" s="149" t="s">
        <v>159</v>
      </c>
      <c r="G161" s="150" t="s">
        <v>161</v>
      </c>
      <c r="H161" s="149" t="str">
        <f t="shared" si="34"/>
        <v/>
      </c>
      <c r="I161" s="245" t="str">
        <f t="shared" si="33"/>
        <v/>
      </c>
    </row>
    <row r="162" spans="2:9">
      <c r="B162" s="151" t="s">
        <v>20</v>
      </c>
      <c r="C162" s="151" t="s">
        <v>149</v>
      </c>
      <c r="D162" s="151" t="s">
        <v>151</v>
      </c>
      <c r="E162" s="152" t="s">
        <v>155</v>
      </c>
      <c r="F162" s="151" t="s">
        <v>159</v>
      </c>
      <c r="G162" s="152" t="s">
        <v>162</v>
      </c>
      <c r="H162" s="149" t="str">
        <f t="shared" si="34"/>
        <v/>
      </c>
      <c r="I162" s="245" t="str">
        <f t="shared" si="33"/>
        <v/>
      </c>
    </row>
    <row r="163" spans="2:9">
      <c r="B163" s="153" t="s">
        <v>20</v>
      </c>
      <c r="C163" s="153" t="s">
        <v>149</v>
      </c>
      <c r="D163" s="154" t="s">
        <v>151</v>
      </c>
      <c r="E163" s="155" t="s">
        <v>156</v>
      </c>
      <c r="F163" s="156" t="s">
        <v>158</v>
      </c>
      <c r="G163" s="157" t="s">
        <v>161</v>
      </c>
      <c r="H163" s="149" t="str">
        <f t="shared" si="34"/>
        <v/>
      </c>
      <c r="I163" s="245" t="str">
        <f t="shared" si="33"/>
        <v/>
      </c>
    </row>
    <row r="164" spans="2:9">
      <c r="B164" s="153" t="s">
        <v>20</v>
      </c>
      <c r="C164" s="153" t="s">
        <v>149</v>
      </c>
      <c r="D164" s="154" t="s">
        <v>151</v>
      </c>
      <c r="E164" s="155" t="s">
        <v>156</v>
      </c>
      <c r="F164" s="156" t="s">
        <v>158</v>
      </c>
      <c r="G164" s="157" t="s">
        <v>162</v>
      </c>
      <c r="H164" s="149" t="str">
        <f t="shared" si="34"/>
        <v/>
      </c>
      <c r="I164" s="245" t="str">
        <f t="shared" si="33"/>
        <v/>
      </c>
    </row>
    <row r="165" spans="2:9">
      <c r="B165" s="153" t="s">
        <v>20</v>
      </c>
      <c r="C165" s="153" t="s">
        <v>149</v>
      </c>
      <c r="D165" s="154" t="s">
        <v>151</v>
      </c>
      <c r="E165" s="155" t="s">
        <v>156</v>
      </c>
      <c r="F165" s="156" t="s">
        <v>159</v>
      </c>
      <c r="G165" s="157" t="s">
        <v>161</v>
      </c>
      <c r="H165" s="149" t="str">
        <f t="shared" si="34"/>
        <v/>
      </c>
      <c r="I165" s="245" t="str">
        <f t="shared" si="33"/>
        <v/>
      </c>
    </row>
    <row r="166" spans="2:9">
      <c r="B166" s="153" t="s">
        <v>20</v>
      </c>
      <c r="C166" s="153" t="s">
        <v>149</v>
      </c>
      <c r="D166" s="154" t="s">
        <v>151</v>
      </c>
      <c r="E166" s="155" t="s">
        <v>156</v>
      </c>
      <c r="F166" s="156" t="s">
        <v>159</v>
      </c>
      <c r="G166" s="157" t="s">
        <v>162</v>
      </c>
      <c r="H166" s="149" t="str">
        <f t="shared" si="34"/>
        <v/>
      </c>
      <c r="I166" s="245" t="str">
        <f t="shared" si="33"/>
        <v/>
      </c>
    </row>
    <row r="167" spans="2:9">
      <c r="B167" s="153" t="s">
        <v>20</v>
      </c>
      <c r="C167" s="153" t="s">
        <v>152</v>
      </c>
      <c r="D167" s="154" t="s">
        <v>150</v>
      </c>
      <c r="E167" s="155" t="s">
        <v>155</v>
      </c>
      <c r="F167" s="156" t="s">
        <v>158</v>
      </c>
      <c r="G167" s="157" t="s">
        <v>161</v>
      </c>
      <c r="H167" s="149" t="str">
        <f t="shared" si="34"/>
        <v/>
      </c>
      <c r="I167" s="245" t="str">
        <f t="shared" si="33"/>
        <v/>
      </c>
    </row>
    <row r="168" spans="2:9">
      <c r="B168" s="153" t="s">
        <v>20</v>
      </c>
      <c r="C168" s="153" t="s">
        <v>152</v>
      </c>
      <c r="D168" s="154" t="s">
        <v>150</v>
      </c>
      <c r="E168" s="155" t="s">
        <v>155</v>
      </c>
      <c r="F168" s="156" t="s">
        <v>158</v>
      </c>
      <c r="G168" s="157" t="s">
        <v>162</v>
      </c>
      <c r="H168" s="149" t="str">
        <f t="shared" si="34"/>
        <v/>
      </c>
      <c r="I168" s="245" t="str">
        <f t="shared" si="33"/>
        <v/>
      </c>
    </row>
    <row r="169" spans="2:9">
      <c r="B169" s="153" t="s">
        <v>20</v>
      </c>
      <c r="C169" s="153" t="s">
        <v>152</v>
      </c>
      <c r="D169" s="154" t="s">
        <v>150</v>
      </c>
      <c r="E169" s="155" t="s">
        <v>155</v>
      </c>
      <c r="F169" s="156" t="s">
        <v>159</v>
      </c>
      <c r="G169" s="157" t="s">
        <v>161</v>
      </c>
      <c r="H169" s="149" t="str">
        <f t="shared" si="34"/>
        <v/>
      </c>
      <c r="I169" s="245" t="str">
        <f t="shared" si="33"/>
        <v/>
      </c>
    </row>
    <row r="170" spans="2:9">
      <c r="B170" s="153" t="s">
        <v>20</v>
      </c>
      <c r="C170" s="153" t="s">
        <v>152</v>
      </c>
      <c r="D170" s="154" t="s">
        <v>150</v>
      </c>
      <c r="E170" s="155" t="s">
        <v>155</v>
      </c>
      <c r="F170" s="156" t="s">
        <v>159</v>
      </c>
      <c r="G170" s="157" t="s">
        <v>162</v>
      </c>
      <c r="H170" s="149" t="str">
        <f t="shared" si="34"/>
        <v/>
      </c>
      <c r="I170" s="245" t="str">
        <f t="shared" si="33"/>
        <v/>
      </c>
    </row>
    <row r="171" spans="2:9">
      <c r="B171" s="153" t="s">
        <v>20</v>
      </c>
      <c r="C171" s="153" t="s">
        <v>152</v>
      </c>
      <c r="D171" s="154" t="s">
        <v>150</v>
      </c>
      <c r="E171" s="155" t="s">
        <v>156</v>
      </c>
      <c r="F171" s="156" t="s">
        <v>158</v>
      </c>
      <c r="G171" s="157" t="s">
        <v>161</v>
      </c>
      <c r="H171" s="149" t="str">
        <f t="shared" si="34"/>
        <v/>
      </c>
      <c r="I171" s="245" t="str">
        <f t="shared" si="33"/>
        <v/>
      </c>
    </row>
    <row r="172" spans="2:9">
      <c r="B172" s="153" t="s">
        <v>20</v>
      </c>
      <c r="C172" s="153" t="s">
        <v>152</v>
      </c>
      <c r="D172" s="154" t="s">
        <v>150</v>
      </c>
      <c r="E172" s="155" t="s">
        <v>156</v>
      </c>
      <c r="F172" s="156" t="s">
        <v>158</v>
      </c>
      <c r="G172" s="157" t="s">
        <v>162</v>
      </c>
      <c r="H172" s="149" t="str">
        <f t="shared" si="34"/>
        <v/>
      </c>
      <c r="I172" s="245" t="str">
        <f t="shared" si="33"/>
        <v/>
      </c>
    </row>
    <row r="173" spans="2:9">
      <c r="B173" s="153" t="s">
        <v>20</v>
      </c>
      <c r="C173" s="153" t="s">
        <v>152</v>
      </c>
      <c r="D173" s="154" t="s">
        <v>150</v>
      </c>
      <c r="E173" s="155" t="s">
        <v>156</v>
      </c>
      <c r="F173" s="156" t="s">
        <v>159</v>
      </c>
      <c r="G173" s="157" t="s">
        <v>161</v>
      </c>
      <c r="H173" s="149" t="str">
        <f t="shared" si="34"/>
        <v/>
      </c>
      <c r="I173" s="245" t="str">
        <f t="shared" si="33"/>
        <v/>
      </c>
    </row>
    <row r="174" spans="2:9">
      <c r="B174" s="153" t="s">
        <v>20</v>
      </c>
      <c r="C174" s="153" t="s">
        <v>152</v>
      </c>
      <c r="D174" s="154" t="s">
        <v>150</v>
      </c>
      <c r="E174" s="155" t="s">
        <v>156</v>
      </c>
      <c r="F174" s="156" t="s">
        <v>159</v>
      </c>
      <c r="G174" s="157" t="s">
        <v>162</v>
      </c>
      <c r="H174" s="149" t="str">
        <f t="shared" si="34"/>
        <v/>
      </c>
      <c r="I174" s="245" t="str">
        <f t="shared" si="33"/>
        <v/>
      </c>
    </row>
    <row r="175" spans="2:9">
      <c r="B175" s="153" t="s">
        <v>20</v>
      </c>
      <c r="C175" s="153" t="s">
        <v>152</v>
      </c>
      <c r="D175" s="154" t="s">
        <v>151</v>
      </c>
      <c r="E175" s="155" t="s">
        <v>155</v>
      </c>
      <c r="F175" s="156" t="s">
        <v>158</v>
      </c>
      <c r="G175" s="157" t="s">
        <v>161</v>
      </c>
      <c r="H175" s="149" t="str">
        <f t="shared" si="34"/>
        <v/>
      </c>
      <c r="I175" s="245" t="str">
        <f t="shared" si="33"/>
        <v/>
      </c>
    </row>
    <row r="176" spans="2:9">
      <c r="B176" s="153" t="s">
        <v>20</v>
      </c>
      <c r="C176" s="153" t="s">
        <v>152</v>
      </c>
      <c r="D176" s="154" t="s">
        <v>151</v>
      </c>
      <c r="E176" s="155" t="s">
        <v>155</v>
      </c>
      <c r="F176" s="156" t="s">
        <v>158</v>
      </c>
      <c r="G176" s="157" t="s">
        <v>162</v>
      </c>
      <c r="H176" s="149" t="str">
        <f t="shared" si="34"/>
        <v/>
      </c>
      <c r="I176" s="245" t="str">
        <f t="shared" si="33"/>
        <v/>
      </c>
    </row>
    <row r="177" spans="2:9">
      <c r="B177" s="153" t="s">
        <v>20</v>
      </c>
      <c r="C177" s="153" t="s">
        <v>152</v>
      </c>
      <c r="D177" s="154" t="s">
        <v>151</v>
      </c>
      <c r="E177" s="155" t="s">
        <v>155</v>
      </c>
      <c r="F177" s="156" t="s">
        <v>159</v>
      </c>
      <c r="G177" s="157" t="s">
        <v>161</v>
      </c>
      <c r="H177" s="149" t="str">
        <f t="shared" si="34"/>
        <v/>
      </c>
      <c r="I177" s="245" t="str">
        <f t="shared" si="33"/>
        <v/>
      </c>
    </row>
    <row r="178" spans="2:9">
      <c r="B178" s="153" t="s">
        <v>20</v>
      </c>
      <c r="C178" s="153" t="s">
        <v>152</v>
      </c>
      <c r="D178" s="154" t="s">
        <v>151</v>
      </c>
      <c r="E178" s="155" t="s">
        <v>155</v>
      </c>
      <c r="F178" s="149" t="s">
        <v>159</v>
      </c>
      <c r="G178" s="150" t="s">
        <v>162</v>
      </c>
      <c r="H178" s="149" t="str">
        <f t="shared" si="34"/>
        <v/>
      </c>
      <c r="I178" s="245" t="str">
        <f t="shared" si="33"/>
        <v/>
      </c>
    </row>
    <row r="179" spans="2:9">
      <c r="B179" s="153" t="s">
        <v>20</v>
      </c>
      <c r="C179" s="153" t="s">
        <v>152</v>
      </c>
      <c r="D179" s="154" t="s">
        <v>151</v>
      </c>
      <c r="E179" s="155" t="s">
        <v>156</v>
      </c>
      <c r="F179" s="149" t="s">
        <v>158</v>
      </c>
      <c r="G179" s="150" t="s">
        <v>161</v>
      </c>
      <c r="H179" s="149" t="str">
        <f t="shared" si="34"/>
        <v/>
      </c>
      <c r="I179" s="245" t="str">
        <f t="shared" si="33"/>
        <v/>
      </c>
    </row>
    <row r="180" spans="2:9">
      <c r="B180" s="149" t="s">
        <v>20</v>
      </c>
      <c r="C180" s="149" t="s">
        <v>152</v>
      </c>
      <c r="D180" s="149" t="s">
        <v>151</v>
      </c>
      <c r="E180" s="150" t="s">
        <v>156</v>
      </c>
      <c r="F180" s="149" t="s">
        <v>158</v>
      </c>
      <c r="G180" s="150" t="s">
        <v>162</v>
      </c>
      <c r="H180" s="149" t="str">
        <f t="shared" si="34"/>
        <v/>
      </c>
      <c r="I180" s="245" t="str">
        <f t="shared" si="33"/>
        <v/>
      </c>
    </row>
    <row r="181" spans="2:9">
      <c r="B181" s="149" t="s">
        <v>20</v>
      </c>
      <c r="C181" s="149" t="s">
        <v>152</v>
      </c>
      <c r="D181" s="149" t="s">
        <v>151</v>
      </c>
      <c r="E181" s="150" t="s">
        <v>156</v>
      </c>
      <c r="F181" s="149" t="s">
        <v>159</v>
      </c>
      <c r="G181" s="150" t="s">
        <v>161</v>
      </c>
      <c r="H181" s="149" t="str">
        <f t="shared" si="34"/>
        <v/>
      </c>
      <c r="I181" s="245" t="str">
        <f t="shared" si="33"/>
        <v/>
      </c>
    </row>
    <row r="182" spans="2:9">
      <c r="B182" s="158" t="s">
        <v>20</v>
      </c>
      <c r="C182" s="158" t="s">
        <v>152</v>
      </c>
      <c r="D182" s="158" t="s">
        <v>151</v>
      </c>
      <c r="E182" s="159" t="s">
        <v>156</v>
      </c>
      <c r="F182" s="158" t="s">
        <v>159</v>
      </c>
      <c r="G182" s="159" t="s">
        <v>162</v>
      </c>
      <c r="H182" s="158" t="str">
        <f t="shared" si="34"/>
        <v/>
      </c>
      <c r="I182" s="246" t="str">
        <f t="shared" si="33"/>
        <v/>
      </c>
    </row>
    <row r="183" spans="2:9">
      <c r="B183" s="148" t="s">
        <v>21</v>
      </c>
      <c r="C183" s="148" t="s">
        <v>149</v>
      </c>
      <c r="D183" s="160" t="s">
        <v>150</v>
      </c>
      <c r="E183" s="147" t="s">
        <v>155</v>
      </c>
      <c r="F183" s="148" t="s">
        <v>158</v>
      </c>
      <c r="G183" s="147" t="s">
        <v>161</v>
      </c>
      <c r="H183" s="149" t="str">
        <f t="shared" ref="H183:H214" si="35">IF(L14="","",L14)</f>
        <v/>
      </c>
      <c r="I183" s="244" t="str">
        <f t="shared" si="33"/>
        <v/>
      </c>
    </row>
    <row r="184" spans="2:9">
      <c r="B184" s="149" t="s">
        <v>21</v>
      </c>
      <c r="C184" s="149" t="s">
        <v>149</v>
      </c>
      <c r="D184" s="153" t="s">
        <v>150</v>
      </c>
      <c r="E184" s="150" t="s">
        <v>155</v>
      </c>
      <c r="F184" s="149" t="s">
        <v>158</v>
      </c>
      <c r="G184" s="150" t="s">
        <v>162</v>
      </c>
      <c r="H184" s="149" t="str">
        <f t="shared" si="35"/>
        <v/>
      </c>
      <c r="I184" s="245" t="str">
        <f t="shared" ref="I184:I214" si="36">IF(H184="","",CONCATENATE(C184,"_",D184,"_",E184,"_",F184,"_",G184))</f>
        <v/>
      </c>
    </row>
    <row r="185" spans="2:9">
      <c r="B185" s="149" t="s">
        <v>21</v>
      </c>
      <c r="C185" s="149" t="s">
        <v>149</v>
      </c>
      <c r="D185" s="153" t="s">
        <v>150</v>
      </c>
      <c r="E185" s="150" t="s">
        <v>155</v>
      </c>
      <c r="F185" s="149" t="s">
        <v>159</v>
      </c>
      <c r="G185" s="150" t="s">
        <v>161</v>
      </c>
      <c r="H185" s="149" t="str">
        <f t="shared" si="35"/>
        <v/>
      </c>
      <c r="I185" s="245" t="str">
        <f t="shared" si="36"/>
        <v/>
      </c>
    </row>
    <row r="186" spans="2:9">
      <c r="B186" s="149" t="s">
        <v>21</v>
      </c>
      <c r="C186" s="149" t="s">
        <v>149</v>
      </c>
      <c r="D186" s="153" t="s">
        <v>150</v>
      </c>
      <c r="E186" s="150" t="s">
        <v>155</v>
      </c>
      <c r="F186" s="149" t="s">
        <v>159</v>
      </c>
      <c r="G186" s="150" t="s">
        <v>162</v>
      </c>
      <c r="H186" s="149" t="str">
        <f t="shared" si="35"/>
        <v/>
      </c>
      <c r="I186" s="245" t="str">
        <f t="shared" si="36"/>
        <v/>
      </c>
    </row>
    <row r="187" spans="2:9">
      <c r="B187" s="149" t="s">
        <v>21</v>
      </c>
      <c r="C187" s="149" t="s">
        <v>149</v>
      </c>
      <c r="D187" s="153" t="s">
        <v>150</v>
      </c>
      <c r="E187" s="150" t="s">
        <v>156</v>
      </c>
      <c r="F187" s="149" t="s">
        <v>158</v>
      </c>
      <c r="G187" s="150" t="s">
        <v>161</v>
      </c>
      <c r="H187" s="149" t="str">
        <f t="shared" si="35"/>
        <v/>
      </c>
      <c r="I187" s="245" t="str">
        <f t="shared" si="36"/>
        <v/>
      </c>
    </row>
    <row r="188" spans="2:9">
      <c r="B188" s="149" t="s">
        <v>21</v>
      </c>
      <c r="C188" s="149" t="s">
        <v>149</v>
      </c>
      <c r="D188" s="153" t="s">
        <v>150</v>
      </c>
      <c r="E188" s="150" t="s">
        <v>156</v>
      </c>
      <c r="F188" s="149" t="s">
        <v>158</v>
      </c>
      <c r="G188" s="150" t="s">
        <v>162</v>
      </c>
      <c r="H188" s="149" t="str">
        <f t="shared" si="35"/>
        <v/>
      </c>
      <c r="I188" s="245" t="str">
        <f t="shared" si="36"/>
        <v/>
      </c>
    </row>
    <row r="189" spans="2:9">
      <c r="B189" s="149" t="s">
        <v>21</v>
      </c>
      <c r="C189" s="149" t="s">
        <v>149</v>
      </c>
      <c r="D189" s="153" t="s">
        <v>150</v>
      </c>
      <c r="E189" s="150" t="s">
        <v>156</v>
      </c>
      <c r="F189" s="149" t="s">
        <v>159</v>
      </c>
      <c r="G189" s="150" t="s">
        <v>161</v>
      </c>
      <c r="H189" s="149" t="str">
        <f t="shared" si="35"/>
        <v/>
      </c>
      <c r="I189" s="245" t="str">
        <f t="shared" si="36"/>
        <v/>
      </c>
    </row>
    <row r="190" spans="2:9">
      <c r="B190" s="149" t="s">
        <v>21</v>
      </c>
      <c r="C190" s="149" t="s">
        <v>149</v>
      </c>
      <c r="D190" s="153" t="s">
        <v>150</v>
      </c>
      <c r="E190" s="150" t="s">
        <v>156</v>
      </c>
      <c r="F190" s="149" t="s">
        <v>159</v>
      </c>
      <c r="G190" s="150" t="s">
        <v>162</v>
      </c>
      <c r="H190" s="149" t="str">
        <f t="shared" si="35"/>
        <v/>
      </c>
      <c r="I190" s="245" t="str">
        <f t="shared" si="36"/>
        <v/>
      </c>
    </row>
    <row r="191" spans="2:9">
      <c r="B191" s="149" t="s">
        <v>21</v>
      </c>
      <c r="C191" s="149" t="s">
        <v>149</v>
      </c>
      <c r="D191" s="153" t="s">
        <v>151</v>
      </c>
      <c r="E191" s="150" t="s">
        <v>155</v>
      </c>
      <c r="F191" s="149" t="s">
        <v>158</v>
      </c>
      <c r="G191" s="150" t="s">
        <v>161</v>
      </c>
      <c r="H191" s="149" t="str">
        <f t="shared" si="35"/>
        <v/>
      </c>
      <c r="I191" s="245" t="str">
        <f t="shared" si="36"/>
        <v/>
      </c>
    </row>
    <row r="192" spans="2:9">
      <c r="B192" s="149" t="s">
        <v>21</v>
      </c>
      <c r="C192" s="149" t="s">
        <v>149</v>
      </c>
      <c r="D192" s="149" t="s">
        <v>151</v>
      </c>
      <c r="E192" s="150" t="s">
        <v>155</v>
      </c>
      <c r="F192" s="149" t="s">
        <v>158</v>
      </c>
      <c r="G192" s="150" t="s">
        <v>162</v>
      </c>
      <c r="H192" s="149" t="str">
        <f t="shared" si="35"/>
        <v/>
      </c>
      <c r="I192" s="245" t="str">
        <f t="shared" si="36"/>
        <v/>
      </c>
    </row>
    <row r="193" spans="2:9">
      <c r="B193" s="149" t="s">
        <v>21</v>
      </c>
      <c r="C193" s="149" t="s">
        <v>149</v>
      </c>
      <c r="D193" s="149" t="s">
        <v>151</v>
      </c>
      <c r="E193" s="150" t="s">
        <v>155</v>
      </c>
      <c r="F193" s="149" t="s">
        <v>159</v>
      </c>
      <c r="G193" s="150" t="s">
        <v>161</v>
      </c>
      <c r="H193" s="149" t="str">
        <f t="shared" si="35"/>
        <v/>
      </c>
      <c r="I193" s="245" t="str">
        <f t="shared" si="36"/>
        <v/>
      </c>
    </row>
    <row r="194" spans="2:9">
      <c r="B194" s="151" t="s">
        <v>21</v>
      </c>
      <c r="C194" s="151" t="s">
        <v>149</v>
      </c>
      <c r="D194" s="151" t="s">
        <v>151</v>
      </c>
      <c r="E194" s="152" t="s">
        <v>155</v>
      </c>
      <c r="F194" s="151" t="s">
        <v>159</v>
      </c>
      <c r="G194" s="152" t="s">
        <v>162</v>
      </c>
      <c r="H194" s="149" t="str">
        <f t="shared" si="35"/>
        <v/>
      </c>
      <c r="I194" s="245" t="str">
        <f t="shared" si="36"/>
        <v/>
      </c>
    </row>
    <row r="195" spans="2:9">
      <c r="B195" s="153" t="s">
        <v>21</v>
      </c>
      <c r="C195" s="153" t="s">
        <v>149</v>
      </c>
      <c r="D195" s="154" t="s">
        <v>151</v>
      </c>
      <c r="E195" s="155" t="s">
        <v>156</v>
      </c>
      <c r="F195" s="156" t="s">
        <v>158</v>
      </c>
      <c r="G195" s="157" t="s">
        <v>161</v>
      </c>
      <c r="H195" s="149" t="str">
        <f t="shared" si="35"/>
        <v/>
      </c>
      <c r="I195" s="245" t="str">
        <f t="shared" si="36"/>
        <v/>
      </c>
    </row>
    <row r="196" spans="2:9">
      <c r="B196" s="153" t="s">
        <v>21</v>
      </c>
      <c r="C196" s="153" t="s">
        <v>149</v>
      </c>
      <c r="D196" s="154" t="s">
        <v>151</v>
      </c>
      <c r="E196" s="155" t="s">
        <v>156</v>
      </c>
      <c r="F196" s="156" t="s">
        <v>158</v>
      </c>
      <c r="G196" s="157" t="s">
        <v>162</v>
      </c>
      <c r="H196" s="149" t="str">
        <f t="shared" si="35"/>
        <v/>
      </c>
      <c r="I196" s="245" t="str">
        <f t="shared" si="36"/>
        <v/>
      </c>
    </row>
    <row r="197" spans="2:9">
      <c r="B197" s="153" t="s">
        <v>21</v>
      </c>
      <c r="C197" s="153" t="s">
        <v>149</v>
      </c>
      <c r="D197" s="154" t="s">
        <v>151</v>
      </c>
      <c r="E197" s="155" t="s">
        <v>156</v>
      </c>
      <c r="F197" s="156" t="s">
        <v>159</v>
      </c>
      <c r="G197" s="157" t="s">
        <v>161</v>
      </c>
      <c r="H197" s="149" t="str">
        <f t="shared" si="35"/>
        <v/>
      </c>
      <c r="I197" s="245" t="str">
        <f t="shared" si="36"/>
        <v/>
      </c>
    </row>
    <row r="198" spans="2:9">
      <c r="B198" s="153" t="s">
        <v>21</v>
      </c>
      <c r="C198" s="153" t="s">
        <v>149</v>
      </c>
      <c r="D198" s="154" t="s">
        <v>151</v>
      </c>
      <c r="E198" s="155" t="s">
        <v>156</v>
      </c>
      <c r="F198" s="156" t="s">
        <v>159</v>
      </c>
      <c r="G198" s="157" t="s">
        <v>162</v>
      </c>
      <c r="H198" s="149" t="str">
        <f t="shared" si="35"/>
        <v/>
      </c>
      <c r="I198" s="245" t="str">
        <f t="shared" si="36"/>
        <v/>
      </c>
    </row>
    <row r="199" spans="2:9">
      <c r="B199" s="153" t="s">
        <v>21</v>
      </c>
      <c r="C199" s="153" t="s">
        <v>152</v>
      </c>
      <c r="D199" s="154" t="s">
        <v>150</v>
      </c>
      <c r="E199" s="155" t="s">
        <v>155</v>
      </c>
      <c r="F199" s="156" t="s">
        <v>158</v>
      </c>
      <c r="G199" s="157" t="s">
        <v>161</v>
      </c>
      <c r="H199" s="149" t="str">
        <f t="shared" si="35"/>
        <v/>
      </c>
      <c r="I199" s="245" t="str">
        <f t="shared" si="36"/>
        <v/>
      </c>
    </row>
    <row r="200" spans="2:9">
      <c r="B200" s="153" t="s">
        <v>21</v>
      </c>
      <c r="C200" s="153" t="s">
        <v>152</v>
      </c>
      <c r="D200" s="154" t="s">
        <v>150</v>
      </c>
      <c r="E200" s="155" t="s">
        <v>155</v>
      </c>
      <c r="F200" s="156" t="s">
        <v>158</v>
      </c>
      <c r="G200" s="157" t="s">
        <v>162</v>
      </c>
      <c r="H200" s="149" t="str">
        <f t="shared" si="35"/>
        <v/>
      </c>
      <c r="I200" s="245" t="str">
        <f t="shared" si="36"/>
        <v/>
      </c>
    </row>
    <row r="201" spans="2:9">
      <c r="B201" s="153" t="s">
        <v>21</v>
      </c>
      <c r="C201" s="153" t="s">
        <v>152</v>
      </c>
      <c r="D201" s="154" t="s">
        <v>150</v>
      </c>
      <c r="E201" s="155" t="s">
        <v>155</v>
      </c>
      <c r="F201" s="156" t="s">
        <v>159</v>
      </c>
      <c r="G201" s="157" t="s">
        <v>161</v>
      </c>
      <c r="H201" s="149" t="str">
        <f t="shared" si="35"/>
        <v/>
      </c>
      <c r="I201" s="245" t="str">
        <f t="shared" si="36"/>
        <v/>
      </c>
    </row>
    <row r="202" spans="2:9">
      <c r="B202" s="153" t="s">
        <v>21</v>
      </c>
      <c r="C202" s="153" t="s">
        <v>152</v>
      </c>
      <c r="D202" s="154" t="s">
        <v>150</v>
      </c>
      <c r="E202" s="155" t="s">
        <v>155</v>
      </c>
      <c r="F202" s="156" t="s">
        <v>159</v>
      </c>
      <c r="G202" s="157" t="s">
        <v>162</v>
      </c>
      <c r="H202" s="149" t="str">
        <f t="shared" si="35"/>
        <v/>
      </c>
      <c r="I202" s="245" t="str">
        <f t="shared" si="36"/>
        <v/>
      </c>
    </row>
    <row r="203" spans="2:9">
      <c r="B203" s="153" t="s">
        <v>21</v>
      </c>
      <c r="C203" s="153" t="s">
        <v>152</v>
      </c>
      <c r="D203" s="154" t="s">
        <v>150</v>
      </c>
      <c r="E203" s="155" t="s">
        <v>156</v>
      </c>
      <c r="F203" s="156" t="s">
        <v>158</v>
      </c>
      <c r="G203" s="157" t="s">
        <v>161</v>
      </c>
      <c r="H203" s="149" t="str">
        <f t="shared" si="35"/>
        <v/>
      </c>
      <c r="I203" s="245" t="str">
        <f t="shared" si="36"/>
        <v/>
      </c>
    </row>
    <row r="204" spans="2:9">
      <c r="B204" s="153" t="s">
        <v>21</v>
      </c>
      <c r="C204" s="153" t="s">
        <v>152</v>
      </c>
      <c r="D204" s="154" t="s">
        <v>150</v>
      </c>
      <c r="E204" s="155" t="s">
        <v>156</v>
      </c>
      <c r="F204" s="156" t="s">
        <v>158</v>
      </c>
      <c r="G204" s="157" t="s">
        <v>162</v>
      </c>
      <c r="H204" s="149" t="str">
        <f t="shared" si="35"/>
        <v/>
      </c>
      <c r="I204" s="245" t="str">
        <f t="shared" si="36"/>
        <v/>
      </c>
    </row>
    <row r="205" spans="2:9">
      <c r="B205" s="153" t="s">
        <v>21</v>
      </c>
      <c r="C205" s="153" t="s">
        <v>152</v>
      </c>
      <c r="D205" s="154" t="s">
        <v>150</v>
      </c>
      <c r="E205" s="155" t="s">
        <v>156</v>
      </c>
      <c r="F205" s="156" t="s">
        <v>159</v>
      </c>
      <c r="G205" s="157" t="s">
        <v>161</v>
      </c>
      <c r="H205" s="149" t="str">
        <f t="shared" si="35"/>
        <v/>
      </c>
      <c r="I205" s="245" t="str">
        <f t="shared" si="36"/>
        <v/>
      </c>
    </row>
    <row r="206" spans="2:9">
      <c r="B206" s="153" t="s">
        <v>21</v>
      </c>
      <c r="C206" s="153" t="s">
        <v>152</v>
      </c>
      <c r="D206" s="154" t="s">
        <v>150</v>
      </c>
      <c r="E206" s="155" t="s">
        <v>156</v>
      </c>
      <c r="F206" s="156" t="s">
        <v>159</v>
      </c>
      <c r="G206" s="157" t="s">
        <v>162</v>
      </c>
      <c r="H206" s="149" t="str">
        <f t="shared" si="35"/>
        <v/>
      </c>
      <c r="I206" s="245" t="str">
        <f t="shared" si="36"/>
        <v/>
      </c>
    </row>
    <row r="207" spans="2:9">
      <c r="B207" s="153" t="s">
        <v>21</v>
      </c>
      <c r="C207" s="153" t="s">
        <v>152</v>
      </c>
      <c r="D207" s="154" t="s">
        <v>151</v>
      </c>
      <c r="E207" s="155" t="s">
        <v>155</v>
      </c>
      <c r="F207" s="156" t="s">
        <v>158</v>
      </c>
      <c r="G207" s="157" t="s">
        <v>161</v>
      </c>
      <c r="H207" s="149" t="str">
        <f t="shared" si="35"/>
        <v/>
      </c>
      <c r="I207" s="245" t="str">
        <f t="shared" si="36"/>
        <v/>
      </c>
    </row>
    <row r="208" spans="2:9">
      <c r="B208" s="153" t="s">
        <v>21</v>
      </c>
      <c r="C208" s="153" t="s">
        <v>152</v>
      </c>
      <c r="D208" s="154" t="s">
        <v>151</v>
      </c>
      <c r="E208" s="155" t="s">
        <v>155</v>
      </c>
      <c r="F208" s="156" t="s">
        <v>158</v>
      </c>
      <c r="G208" s="157" t="s">
        <v>162</v>
      </c>
      <c r="H208" s="149" t="str">
        <f t="shared" si="35"/>
        <v/>
      </c>
      <c r="I208" s="245" t="str">
        <f t="shared" si="36"/>
        <v/>
      </c>
    </row>
    <row r="209" spans="1:10">
      <c r="B209" s="153" t="s">
        <v>21</v>
      </c>
      <c r="C209" s="153" t="s">
        <v>152</v>
      </c>
      <c r="D209" s="154" t="s">
        <v>151</v>
      </c>
      <c r="E209" s="155" t="s">
        <v>155</v>
      </c>
      <c r="F209" s="156" t="s">
        <v>159</v>
      </c>
      <c r="G209" s="157" t="s">
        <v>161</v>
      </c>
      <c r="H209" s="149" t="str">
        <f t="shared" si="35"/>
        <v/>
      </c>
      <c r="I209" s="245" t="str">
        <f t="shared" si="36"/>
        <v/>
      </c>
    </row>
    <row r="210" spans="1:10">
      <c r="B210" s="153" t="s">
        <v>21</v>
      </c>
      <c r="C210" s="153" t="s">
        <v>152</v>
      </c>
      <c r="D210" s="154" t="s">
        <v>151</v>
      </c>
      <c r="E210" s="155" t="s">
        <v>155</v>
      </c>
      <c r="F210" s="149" t="s">
        <v>159</v>
      </c>
      <c r="G210" s="150" t="s">
        <v>162</v>
      </c>
      <c r="H210" s="149" t="str">
        <f t="shared" si="35"/>
        <v/>
      </c>
      <c r="I210" s="245" t="str">
        <f t="shared" si="36"/>
        <v/>
      </c>
    </row>
    <row r="211" spans="1:10">
      <c r="B211" s="153" t="s">
        <v>21</v>
      </c>
      <c r="C211" s="153" t="s">
        <v>152</v>
      </c>
      <c r="D211" s="154" t="s">
        <v>151</v>
      </c>
      <c r="E211" s="155" t="s">
        <v>156</v>
      </c>
      <c r="F211" s="149" t="s">
        <v>158</v>
      </c>
      <c r="G211" s="150" t="s">
        <v>161</v>
      </c>
      <c r="H211" s="149" t="str">
        <f t="shared" si="35"/>
        <v/>
      </c>
      <c r="I211" s="245" t="str">
        <f t="shared" si="36"/>
        <v/>
      </c>
    </row>
    <row r="212" spans="1:10">
      <c r="B212" s="149" t="s">
        <v>21</v>
      </c>
      <c r="C212" s="149" t="s">
        <v>152</v>
      </c>
      <c r="D212" s="149" t="s">
        <v>151</v>
      </c>
      <c r="E212" s="150" t="s">
        <v>156</v>
      </c>
      <c r="F212" s="149" t="s">
        <v>158</v>
      </c>
      <c r="G212" s="150" t="s">
        <v>162</v>
      </c>
      <c r="H212" s="149" t="str">
        <f t="shared" si="35"/>
        <v/>
      </c>
      <c r="I212" s="245" t="str">
        <f t="shared" si="36"/>
        <v/>
      </c>
    </row>
    <row r="213" spans="1:10">
      <c r="B213" s="149" t="s">
        <v>21</v>
      </c>
      <c r="C213" s="149" t="s">
        <v>152</v>
      </c>
      <c r="D213" s="149" t="s">
        <v>151</v>
      </c>
      <c r="E213" s="150" t="s">
        <v>156</v>
      </c>
      <c r="F213" s="149" t="s">
        <v>159</v>
      </c>
      <c r="G213" s="150" t="s">
        <v>161</v>
      </c>
      <c r="H213" s="149" t="str">
        <f t="shared" si="35"/>
        <v/>
      </c>
      <c r="I213" s="245" t="str">
        <f t="shared" si="36"/>
        <v/>
      </c>
    </row>
    <row r="214" spans="1:10">
      <c r="B214" s="158" t="s">
        <v>21</v>
      </c>
      <c r="C214" s="158" t="s">
        <v>152</v>
      </c>
      <c r="D214" s="158" t="s">
        <v>151</v>
      </c>
      <c r="E214" s="159" t="s">
        <v>156</v>
      </c>
      <c r="F214" s="158" t="s">
        <v>159</v>
      </c>
      <c r="G214" s="159" t="s">
        <v>162</v>
      </c>
      <c r="H214" s="158" t="str">
        <f t="shared" si="35"/>
        <v/>
      </c>
      <c r="I214" s="246" t="str">
        <f t="shared" si="36"/>
        <v/>
      </c>
    </row>
    <row r="215" spans="1:10">
      <c r="H215" s="56"/>
    </row>
    <row r="217" spans="1:10" ht="14.4">
      <c r="A217" s="243" t="s">
        <v>183</v>
      </c>
      <c r="B217" s="241"/>
      <c r="C217" s="241"/>
      <c r="D217" s="241"/>
      <c r="E217" s="241"/>
      <c r="F217" s="241"/>
      <c r="G217" s="241"/>
      <c r="H217" s="241"/>
      <c r="I217" s="241"/>
      <c r="J217" s="241"/>
    </row>
    <row r="219" spans="1:10">
      <c r="B219" s="77" t="s">
        <v>213</v>
      </c>
    </row>
    <row r="220" spans="1:10">
      <c r="B220" s="77"/>
      <c r="D220" s="77" t="s">
        <v>212</v>
      </c>
    </row>
    <row r="222" spans="1:10">
      <c r="B222" s="64" t="s">
        <v>184</v>
      </c>
    </row>
    <row r="223" spans="1:10">
      <c r="B223" s="77" t="s">
        <v>216</v>
      </c>
    </row>
    <row r="224" spans="1:10" ht="13.8">
      <c r="B224" s="77"/>
      <c r="C224" s="240" t="s">
        <v>205</v>
      </c>
      <c r="D224" s="241"/>
      <c r="E224" s="241"/>
      <c r="F224" s="241"/>
      <c r="G224" s="241"/>
      <c r="H224" s="241"/>
      <c r="I224" s="241"/>
    </row>
    <row r="225" spans="2:9" ht="13.8">
      <c r="B225" s="77"/>
      <c r="C225" s="240" t="s">
        <v>203</v>
      </c>
      <c r="D225" s="241"/>
      <c r="E225" s="241"/>
      <c r="F225" s="241"/>
      <c r="G225" s="241"/>
      <c r="H225" s="241"/>
      <c r="I225" s="241"/>
    </row>
    <row r="226" spans="2:9" ht="13.8">
      <c r="B226" s="77"/>
      <c r="C226" s="240" t="s">
        <v>204</v>
      </c>
      <c r="D226" s="241"/>
      <c r="E226" s="241"/>
      <c r="F226" s="241"/>
      <c r="G226" s="241"/>
      <c r="H226" s="241"/>
      <c r="I226" s="241"/>
    </row>
    <row r="227" spans="2:9">
      <c r="B227" s="77"/>
    </row>
    <row r="228" spans="2:9">
      <c r="B228" s="77" t="s">
        <v>217</v>
      </c>
    </row>
    <row r="229" spans="2:9">
      <c r="B229" s="77" t="s">
        <v>191</v>
      </c>
    </row>
    <row r="230" spans="2:9" ht="13.8">
      <c r="B230" s="77"/>
      <c r="C230" s="240" t="s">
        <v>223</v>
      </c>
      <c r="D230" s="240"/>
      <c r="E230" s="240"/>
      <c r="F230" s="240"/>
      <c r="G230" s="240"/>
      <c r="H230" s="240"/>
      <c r="I230" s="241"/>
    </row>
    <row r="231" spans="2:9" ht="13.8">
      <c r="B231" s="77"/>
      <c r="C231" s="240" t="s">
        <v>222</v>
      </c>
      <c r="D231" s="241"/>
      <c r="E231" s="241"/>
      <c r="F231" s="241"/>
      <c r="G231" s="241"/>
      <c r="H231" s="241"/>
      <c r="I231" s="241"/>
    </row>
    <row r="232" spans="2:9">
      <c r="B232" s="77"/>
    </row>
    <row r="233" spans="2:9">
      <c r="B233" s="77" t="s">
        <v>192</v>
      </c>
    </row>
    <row r="234" spans="2:9">
      <c r="B234" s="77"/>
      <c r="C234" s="77" t="s">
        <v>225</v>
      </c>
    </row>
    <row r="235" spans="2:9">
      <c r="B235" s="77"/>
      <c r="C235" s="263" t="s">
        <v>226</v>
      </c>
    </row>
    <row r="236" spans="2:9">
      <c r="B236" s="77"/>
      <c r="C236" s="77" t="s">
        <v>227</v>
      </c>
    </row>
    <row r="237" spans="2:9">
      <c r="B237" s="77"/>
      <c r="C237" s="263" t="s">
        <v>228</v>
      </c>
    </row>
    <row r="238" spans="2:9">
      <c r="B238" s="77"/>
      <c r="C238" s="77" t="s">
        <v>229</v>
      </c>
    </row>
    <row r="239" spans="2:9">
      <c r="B239" s="77"/>
      <c r="C239" s="77" t="s">
        <v>230</v>
      </c>
    </row>
    <row r="240" spans="2:9">
      <c r="B240" s="77"/>
      <c r="C240" s="77"/>
    </row>
    <row r="241" spans="1:9">
      <c r="B241" s="77"/>
      <c r="C241" s="77" t="s">
        <v>231</v>
      </c>
    </row>
    <row r="242" spans="1:9" ht="13.8">
      <c r="C242" s="240" t="s">
        <v>206</v>
      </c>
      <c r="D242" s="241"/>
      <c r="E242" s="241"/>
      <c r="F242" s="241"/>
      <c r="G242" s="241"/>
      <c r="H242" s="241"/>
      <c r="I242" s="241"/>
    </row>
    <row r="243" spans="1:9" ht="13.8">
      <c r="C243" s="240" t="s">
        <v>203</v>
      </c>
      <c r="D243" s="241"/>
      <c r="E243" s="241"/>
      <c r="F243" s="241"/>
      <c r="G243" s="241"/>
      <c r="H243" s="241"/>
      <c r="I243" s="241"/>
    </row>
    <row r="244" spans="1:9" ht="13.8">
      <c r="C244" s="240" t="s">
        <v>204</v>
      </c>
      <c r="D244" s="241"/>
      <c r="E244" s="241"/>
      <c r="F244" s="241"/>
      <c r="G244" s="241"/>
      <c r="H244" s="241"/>
      <c r="I244" s="241"/>
    </row>
    <row r="245" spans="1:9" ht="15.6">
      <c r="A245" s="92"/>
    </row>
    <row r="246" spans="1:9" ht="15.6">
      <c r="A246" s="92"/>
      <c r="C246" s="77" t="s">
        <v>232</v>
      </c>
    </row>
    <row r="247" spans="1:9" ht="15.6">
      <c r="A247" s="92"/>
      <c r="C247" s="240" t="s">
        <v>233</v>
      </c>
      <c r="D247" s="241"/>
      <c r="E247" s="241"/>
      <c r="F247" s="241"/>
      <c r="G247" s="241"/>
      <c r="H247" s="241"/>
      <c r="I247" s="241"/>
    </row>
    <row r="248" spans="1:9" ht="15.6">
      <c r="A248" s="92"/>
      <c r="C248" s="240" t="s">
        <v>223</v>
      </c>
      <c r="D248" s="241"/>
      <c r="E248" s="241"/>
      <c r="F248" s="241"/>
      <c r="G248" s="241"/>
      <c r="H248" s="241"/>
      <c r="I248" s="241"/>
    </row>
    <row r="249" spans="1:9" ht="15.6">
      <c r="A249" s="92"/>
      <c r="C249" s="240" t="s">
        <v>244</v>
      </c>
      <c r="D249" s="241"/>
      <c r="E249" s="241"/>
      <c r="F249" s="241"/>
      <c r="G249" s="241"/>
      <c r="H249" s="241"/>
      <c r="I249" s="241"/>
    </row>
    <row r="250" spans="1:9" ht="15.6">
      <c r="A250" s="92"/>
      <c r="C250" s="240" t="s">
        <v>203</v>
      </c>
      <c r="D250" s="241"/>
      <c r="E250" s="241"/>
      <c r="F250" s="241"/>
      <c r="G250" s="241"/>
      <c r="H250" s="241"/>
      <c r="I250" s="241"/>
    </row>
    <row r="251" spans="1:9" ht="15.6">
      <c r="A251" s="92"/>
      <c r="C251" s="240" t="s">
        <v>243</v>
      </c>
      <c r="D251" s="241"/>
      <c r="E251" s="241"/>
      <c r="F251" s="241"/>
      <c r="G251" s="241"/>
      <c r="H251" s="241"/>
      <c r="I251" s="241"/>
    </row>
    <row r="252" spans="1:9" ht="15.6">
      <c r="A252" s="92"/>
    </row>
    <row r="253" spans="1:9" ht="15.6">
      <c r="A253" s="92"/>
    </row>
    <row r="254" spans="1:9" ht="15.6">
      <c r="A254" s="92"/>
    </row>
    <row r="255" spans="1:9" ht="15.6">
      <c r="A255" s="92"/>
      <c r="B255" s="77" t="s">
        <v>250</v>
      </c>
    </row>
    <row r="256" spans="1:9" ht="15.6">
      <c r="A256" s="92"/>
      <c r="C256" s="240" t="s">
        <v>245</v>
      </c>
      <c r="D256" s="241"/>
      <c r="E256" s="241"/>
      <c r="F256" s="241"/>
      <c r="G256" s="241"/>
      <c r="H256" s="241"/>
      <c r="I256" s="241"/>
    </row>
    <row r="257" spans="1:9" ht="13.8">
      <c r="C257" s="240" t="s">
        <v>257</v>
      </c>
      <c r="D257" s="240"/>
      <c r="E257" s="240"/>
      <c r="F257" s="240"/>
      <c r="G257" s="240"/>
      <c r="H257" s="240"/>
      <c r="I257" s="240"/>
    </row>
    <row r="258" spans="1:9" ht="13.8">
      <c r="C258" s="240" t="s">
        <v>258</v>
      </c>
      <c r="D258" s="240"/>
      <c r="E258" s="240"/>
      <c r="F258" s="240"/>
      <c r="G258" s="240"/>
      <c r="H258" s="240"/>
      <c r="I258" s="240"/>
    </row>
    <row r="260" spans="1:9">
      <c r="A260" s="264" t="s">
        <v>249</v>
      </c>
    </row>
  </sheetData>
  <sheetProtection sheet="1" objects="1" scenarios="1" formatCells="0"/>
  <mergeCells count="2">
    <mergeCell ref="C2:F2"/>
    <mergeCell ref="C3:F3"/>
  </mergeCells>
  <phoneticPr fontId="8" type="noConversion"/>
  <hyperlinks>
    <hyperlink ref="A260" r:id="rId1"/>
  </hyperlinks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360" copies="0" r:id="rId2"/>
  <headerFooter alignWithMargins="0">
    <oddHeader>&amp;A</oddHeader>
    <oddFooter>Page &amp;P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G451"/>
  <sheetViews>
    <sheetView zoomScale="85" zoomScaleNormal="85" workbookViewId="0">
      <selection activeCell="C2" sqref="C2:F3"/>
    </sheetView>
  </sheetViews>
  <sheetFormatPr baseColWidth="10" defaultRowHeight="13.2"/>
  <cols>
    <col min="1" max="1" width="16.109375" style="54" customWidth="1"/>
    <col min="2" max="2" width="13.6640625" style="54" customWidth="1"/>
    <col min="3" max="5" width="11.44140625" style="54" customWidth="1"/>
    <col min="6" max="6" width="11.33203125" style="54" customWidth="1"/>
    <col min="7" max="7" width="11.77734375" style="54" customWidth="1"/>
    <col min="8" max="8" width="11.5546875" style="54"/>
    <col min="9" max="9" width="16.109375" style="54" customWidth="1"/>
    <col min="10" max="10" width="15.77734375" style="54" customWidth="1"/>
    <col min="11" max="13" width="11.88671875" style="54" customWidth="1"/>
    <col min="14" max="14" width="12.33203125" style="54" customWidth="1"/>
    <col min="15" max="16" width="7.33203125" style="54" customWidth="1"/>
    <col min="17" max="17" width="7" style="54" customWidth="1"/>
    <col min="18" max="18" width="7.33203125" style="54" customWidth="1"/>
    <col min="19" max="19" width="6.6640625" style="54" customWidth="1"/>
    <col min="20" max="20" width="7" style="54" customWidth="1"/>
    <col min="21" max="21" width="7.109375" style="54" customWidth="1"/>
    <col min="22" max="22" width="6.33203125" style="54" customWidth="1"/>
    <col min="23" max="23" width="6.6640625" style="54" customWidth="1"/>
    <col min="24" max="24" width="7.33203125" style="54" customWidth="1"/>
    <col min="25" max="25" width="7" style="54" customWidth="1"/>
    <col min="26" max="26" width="7.33203125" style="54" customWidth="1"/>
    <col min="27" max="27" width="6.6640625" style="54" customWidth="1"/>
    <col min="28" max="28" width="6.77734375" style="54" customWidth="1"/>
    <col min="29" max="31" width="6.33203125" style="54" customWidth="1"/>
    <col min="32" max="32" width="7.33203125" style="54" customWidth="1"/>
    <col min="33" max="33" width="7.44140625" style="54" customWidth="1"/>
    <col min="34" max="16384" width="11.5546875" style="54"/>
  </cols>
  <sheetData>
    <row r="2" spans="1:33" ht="16.2">
      <c r="C2" s="266" t="s">
        <v>179</v>
      </c>
      <c r="D2" s="266"/>
      <c r="E2" s="266"/>
      <c r="F2" s="266"/>
    </row>
    <row r="3" spans="1:33" ht="16.2">
      <c r="C3" s="266" t="s">
        <v>166</v>
      </c>
      <c r="D3" s="266"/>
      <c r="E3" s="266"/>
      <c r="F3" s="266"/>
    </row>
    <row r="4" spans="1:33" ht="13.8" thickBot="1"/>
    <row r="5" spans="1:33" ht="20.25" customHeight="1" thickBot="1">
      <c r="A5" s="1" t="s">
        <v>41</v>
      </c>
      <c r="B5" s="2"/>
      <c r="C5" s="2"/>
      <c r="D5" s="22"/>
      <c r="E5" s="53"/>
      <c r="F5" s="53"/>
      <c r="G5" s="53"/>
    </row>
    <row r="6" spans="1:33" ht="15.6">
      <c r="A6" s="3"/>
      <c r="B6" s="4" t="s">
        <v>7</v>
      </c>
      <c r="C6" s="4" t="s">
        <v>8</v>
      </c>
      <c r="D6" s="23" t="s">
        <v>9</v>
      </c>
      <c r="F6" s="181"/>
      <c r="G6" s="182" t="s">
        <v>10</v>
      </c>
      <c r="H6" s="183"/>
      <c r="I6" s="184"/>
      <c r="Q6" s="54" t="str">
        <f>C7</f>
        <v>A inf</v>
      </c>
      <c r="R6" s="54" t="str">
        <f>D7</f>
        <v>A sup</v>
      </c>
      <c r="S6" s="54" t="s">
        <v>55</v>
      </c>
      <c r="T6" s="57" t="str">
        <f>C8</f>
        <v>B inf</v>
      </c>
      <c r="U6" s="57" t="str">
        <f>D8</f>
        <v>B sup</v>
      </c>
      <c r="V6" s="54" t="s">
        <v>55</v>
      </c>
      <c r="W6" s="57" t="str">
        <f>C9</f>
        <v>C inf</v>
      </c>
      <c r="X6" s="57" t="str">
        <f>D9</f>
        <v>C sup</v>
      </c>
      <c r="Y6" s="54" t="s">
        <v>55</v>
      </c>
      <c r="Z6" s="57" t="str">
        <f>C10</f>
        <v>D inf</v>
      </c>
      <c r="AA6" s="57" t="str">
        <f>D10</f>
        <v>D sup</v>
      </c>
      <c r="AB6" s="54" t="s">
        <v>55</v>
      </c>
      <c r="AC6" s="57" t="str">
        <f>C11</f>
        <v>E inf</v>
      </c>
      <c r="AD6" s="57" t="str">
        <f>D11</f>
        <v>E sup</v>
      </c>
      <c r="AE6" s="54" t="s">
        <v>55</v>
      </c>
      <c r="AF6" s="57" t="str">
        <f>C12</f>
        <v>F inf</v>
      </c>
      <c r="AG6" s="57" t="str">
        <f>D12</f>
        <v>F sup</v>
      </c>
    </row>
    <row r="7" spans="1:33" ht="15.6">
      <c r="A7" s="50" t="s">
        <v>11</v>
      </c>
      <c r="B7" s="139" t="s">
        <v>0</v>
      </c>
      <c r="C7" s="139" t="s">
        <v>66</v>
      </c>
      <c r="D7" s="201" t="s">
        <v>67</v>
      </c>
      <c r="F7" s="55"/>
      <c r="G7" s="185" t="s">
        <v>143</v>
      </c>
      <c r="H7" s="186"/>
      <c r="I7" s="187"/>
      <c r="Q7" s="54" t="str">
        <f>B7</f>
        <v>A</v>
      </c>
      <c r="R7" s="54" t="str">
        <f>B7</f>
        <v>A</v>
      </c>
      <c r="T7" s="57" t="str">
        <f>B8</f>
        <v>B</v>
      </c>
      <c r="U7" s="57" t="str">
        <f>B8</f>
        <v>B</v>
      </c>
      <c r="W7" s="57" t="str">
        <f>B9</f>
        <v>C</v>
      </c>
      <c r="X7" s="57" t="str">
        <f>B9</f>
        <v>C</v>
      </c>
      <c r="Z7" s="57" t="str">
        <f>B10</f>
        <v>D</v>
      </c>
      <c r="AA7" s="57" t="str">
        <f>B10</f>
        <v>D</v>
      </c>
      <c r="AC7" s="57" t="str">
        <f>B11</f>
        <v>E</v>
      </c>
      <c r="AD7" s="57" t="str">
        <f>B11</f>
        <v>E</v>
      </c>
      <c r="AF7" s="57" t="str">
        <f>B12</f>
        <v>F</v>
      </c>
      <c r="AG7" s="57" t="str">
        <f>B12</f>
        <v>F</v>
      </c>
    </row>
    <row r="8" spans="1:33" ht="16.2" thickBot="1">
      <c r="A8" s="50" t="s">
        <v>12</v>
      </c>
      <c r="B8" s="139" t="s">
        <v>1</v>
      </c>
      <c r="C8" s="139" t="s">
        <v>58</v>
      </c>
      <c r="D8" s="201" t="s">
        <v>59</v>
      </c>
      <c r="F8" s="188"/>
      <c r="G8" s="189" t="s">
        <v>13</v>
      </c>
      <c r="H8" s="190"/>
      <c r="I8" s="191"/>
      <c r="P8" s="54" t="s">
        <v>30</v>
      </c>
      <c r="Q8" s="58">
        <f>B81+C81</f>
        <v>23.643374999999999</v>
      </c>
      <c r="R8" s="58">
        <f>B81+C82</f>
        <v>12.147125000000001</v>
      </c>
      <c r="T8" s="58">
        <f>B81+D81</f>
        <v>18.936249999999998</v>
      </c>
      <c r="U8" s="58">
        <f>B81+D82</f>
        <v>16.85425</v>
      </c>
      <c r="W8" s="58">
        <f>B81+E81</f>
        <v>19.732187500000002</v>
      </c>
      <c r="X8" s="58">
        <f>B81+E82</f>
        <v>16.0583125</v>
      </c>
      <c r="Z8" s="58">
        <f>B81+F81</f>
        <v>17.723281249999999</v>
      </c>
      <c r="AA8" s="58">
        <f>B81+F82</f>
        <v>18.067218749999999</v>
      </c>
      <c r="AC8" s="58">
        <f>B81+G81</f>
        <v>17.469718749999998</v>
      </c>
      <c r="AD8" s="58">
        <f>B81+G82</f>
        <v>18.32078125</v>
      </c>
      <c r="AF8" s="58">
        <f>B81+H81</f>
        <v>17.7466875</v>
      </c>
      <c r="AG8" s="58">
        <f>B82+H82</f>
        <v>18.043812499999998</v>
      </c>
    </row>
    <row r="9" spans="1:33">
      <c r="A9" s="50" t="s">
        <v>29</v>
      </c>
      <c r="B9" s="139" t="s">
        <v>2</v>
      </c>
      <c r="C9" s="139" t="s">
        <v>60</v>
      </c>
      <c r="D9" s="201" t="s">
        <v>61</v>
      </c>
      <c r="P9" s="54" t="s">
        <v>22</v>
      </c>
      <c r="Q9" s="58">
        <f>B81</f>
        <v>17.895250000000004</v>
      </c>
      <c r="R9" s="58">
        <f>B81</f>
        <v>17.895250000000004</v>
      </c>
      <c r="S9" s="58">
        <f>B81</f>
        <v>17.895250000000004</v>
      </c>
      <c r="T9" s="58">
        <f>B81</f>
        <v>17.895250000000004</v>
      </c>
      <c r="U9" s="58">
        <f>B81</f>
        <v>17.895250000000004</v>
      </c>
      <c r="V9" s="58">
        <f>B81</f>
        <v>17.895250000000004</v>
      </c>
      <c r="W9" s="58">
        <f>B81</f>
        <v>17.895250000000004</v>
      </c>
      <c r="X9" s="58">
        <f>B81</f>
        <v>17.895250000000004</v>
      </c>
      <c r="Y9" s="58">
        <f>B81</f>
        <v>17.895250000000004</v>
      </c>
      <c r="Z9" s="58">
        <f>B81</f>
        <v>17.895250000000004</v>
      </c>
      <c r="AA9" s="58">
        <f>B81</f>
        <v>17.895250000000004</v>
      </c>
      <c r="AB9" s="58">
        <f>B81</f>
        <v>17.895250000000004</v>
      </c>
      <c r="AC9" s="58">
        <f>B81</f>
        <v>17.895250000000004</v>
      </c>
      <c r="AD9" s="58">
        <f>B81</f>
        <v>17.895250000000004</v>
      </c>
      <c r="AE9" s="58">
        <f>B81</f>
        <v>17.895250000000004</v>
      </c>
      <c r="AF9" s="58">
        <f>B81</f>
        <v>17.895250000000004</v>
      </c>
      <c r="AG9" s="58">
        <f>B81</f>
        <v>17.895250000000004</v>
      </c>
    </row>
    <row r="10" spans="1:33">
      <c r="A10" s="50" t="s">
        <v>32</v>
      </c>
      <c r="B10" s="139" t="s">
        <v>3</v>
      </c>
      <c r="C10" s="139" t="s">
        <v>62</v>
      </c>
      <c r="D10" s="201" t="s">
        <v>63</v>
      </c>
    </row>
    <row r="11" spans="1:33">
      <c r="A11" s="50" t="s">
        <v>36</v>
      </c>
      <c r="B11" s="139" t="s">
        <v>4</v>
      </c>
      <c r="C11" s="139" t="s">
        <v>64</v>
      </c>
      <c r="D11" s="201" t="s">
        <v>65</v>
      </c>
    </row>
    <row r="12" spans="1:33" ht="13.8" thickBot="1">
      <c r="A12" s="52" t="s">
        <v>42</v>
      </c>
      <c r="B12" s="202" t="s">
        <v>5</v>
      </c>
      <c r="C12" s="202" t="s">
        <v>68</v>
      </c>
      <c r="D12" s="203" t="s">
        <v>69</v>
      </c>
      <c r="I12" s="59" t="s">
        <v>142</v>
      </c>
    </row>
    <row r="13" spans="1:33">
      <c r="I13" s="60"/>
      <c r="J13" s="61"/>
      <c r="K13" s="61"/>
      <c r="L13" s="61"/>
    </row>
    <row r="14" spans="1:33" ht="13.8">
      <c r="A14" s="10" t="s">
        <v>15</v>
      </c>
      <c r="B14" s="11" t="str">
        <f>B7</f>
        <v>A</v>
      </c>
      <c r="C14" s="11" t="str">
        <f>B8</f>
        <v>B</v>
      </c>
      <c r="D14" s="11" t="str">
        <f>B9</f>
        <v>C</v>
      </c>
      <c r="E14" s="11" t="str">
        <f>B10</f>
        <v>D</v>
      </c>
      <c r="F14" s="11" t="str">
        <f>B11</f>
        <v>E</v>
      </c>
      <c r="G14" s="11" t="str">
        <f>B12</f>
        <v>F</v>
      </c>
      <c r="H14" s="10" t="s">
        <v>16</v>
      </c>
      <c r="I14" s="51" t="s">
        <v>17</v>
      </c>
      <c r="J14" s="51" t="s">
        <v>18</v>
      </c>
      <c r="K14" s="51" t="s">
        <v>19</v>
      </c>
      <c r="L14" s="51" t="s">
        <v>20</v>
      </c>
      <c r="M14" s="51" t="s">
        <v>21</v>
      </c>
      <c r="N14" s="62"/>
    </row>
    <row r="15" spans="1:33" ht="13.8">
      <c r="A15" s="136">
        <v>1</v>
      </c>
      <c r="B15" s="136" t="str">
        <f>C$7</f>
        <v>A inf</v>
      </c>
      <c r="C15" s="136" t="str">
        <f>C$8</f>
        <v>B inf</v>
      </c>
      <c r="D15" s="136" t="str">
        <f>C$9</f>
        <v>C inf</v>
      </c>
      <c r="E15" s="136" t="str">
        <f>C$10</f>
        <v>D inf</v>
      </c>
      <c r="F15" s="136" t="str">
        <f>C$11</f>
        <v>E inf</v>
      </c>
      <c r="G15" s="136" t="str">
        <f>C$12</f>
        <v>F inf</v>
      </c>
      <c r="H15" s="4">
        <f>MEDIAN(I15:M15)</f>
        <v>27.2</v>
      </c>
      <c r="I15" s="9">
        <v>27.2</v>
      </c>
      <c r="J15" s="9"/>
      <c r="K15" s="9"/>
      <c r="L15" s="9"/>
      <c r="M15" s="9"/>
      <c r="N15" s="62"/>
    </row>
    <row r="16" spans="1:33" ht="13.8">
      <c r="A16" s="136">
        <v>2</v>
      </c>
      <c r="B16" s="136" t="str">
        <f t="shared" ref="B16:B46" si="0">C$7</f>
        <v>A inf</v>
      </c>
      <c r="C16" s="136" t="str">
        <f t="shared" ref="C16:C30" si="1">C$8</f>
        <v>B inf</v>
      </c>
      <c r="D16" s="136" t="str">
        <f t="shared" ref="D16:D22" si="2">C$9</f>
        <v>C inf</v>
      </c>
      <c r="E16" s="136" t="str">
        <f t="shared" ref="E16:E18" si="3">C$10</f>
        <v>D inf</v>
      </c>
      <c r="F16" s="136" t="str">
        <f>C$11</f>
        <v>E inf</v>
      </c>
      <c r="G16" s="136" t="str">
        <f>D$12</f>
        <v>F sup</v>
      </c>
      <c r="H16" s="4">
        <f>MEDIAN(I16:M16)</f>
        <v>31.25</v>
      </c>
      <c r="I16" s="9">
        <v>31.25</v>
      </c>
      <c r="J16" s="9"/>
      <c r="K16" s="9"/>
      <c r="L16" s="9"/>
      <c r="M16" s="9"/>
      <c r="N16" s="62"/>
    </row>
    <row r="17" spans="1:26" ht="13.8">
      <c r="A17" s="136">
        <v>3</v>
      </c>
      <c r="B17" s="136" t="str">
        <f t="shared" si="0"/>
        <v>A inf</v>
      </c>
      <c r="C17" s="136" t="str">
        <f t="shared" si="1"/>
        <v>B inf</v>
      </c>
      <c r="D17" s="136" t="str">
        <f t="shared" si="2"/>
        <v>C inf</v>
      </c>
      <c r="E17" s="136" t="str">
        <f t="shared" si="3"/>
        <v>D inf</v>
      </c>
      <c r="F17" s="136" t="str">
        <f>D$11</f>
        <v>E sup</v>
      </c>
      <c r="G17" s="136" t="str">
        <f>C$12</f>
        <v>F inf</v>
      </c>
      <c r="H17" s="4">
        <f>MEDIAN(I17:M17)</f>
        <v>20.928000000000001</v>
      </c>
      <c r="I17" s="9">
        <v>20.928000000000001</v>
      </c>
      <c r="J17" s="9"/>
      <c r="K17" s="9"/>
      <c r="L17" s="9"/>
      <c r="M17" s="9"/>
      <c r="N17" s="62"/>
    </row>
    <row r="18" spans="1:26" ht="13.8">
      <c r="A18" s="136">
        <v>4</v>
      </c>
      <c r="B18" s="136" t="str">
        <f t="shared" si="0"/>
        <v>A inf</v>
      </c>
      <c r="C18" s="136" t="str">
        <f t="shared" si="1"/>
        <v>B inf</v>
      </c>
      <c r="D18" s="136" t="str">
        <f t="shared" si="2"/>
        <v>C inf</v>
      </c>
      <c r="E18" s="136" t="str">
        <f t="shared" si="3"/>
        <v>D inf</v>
      </c>
      <c r="F18" s="136" t="str">
        <f>D$11</f>
        <v>E sup</v>
      </c>
      <c r="G18" s="136" t="str">
        <f>D$12</f>
        <v>F sup</v>
      </c>
      <c r="H18" s="4">
        <f>MEDIAN(I18:M18)</f>
        <v>18.750999999999998</v>
      </c>
      <c r="I18" s="9">
        <v>18.750999999999998</v>
      </c>
      <c r="J18" s="9"/>
      <c r="K18" s="9"/>
      <c r="L18" s="9"/>
      <c r="M18" s="9"/>
      <c r="N18" s="62"/>
    </row>
    <row r="19" spans="1:26" ht="13.8">
      <c r="A19" s="136">
        <v>5</v>
      </c>
      <c r="B19" s="136" t="str">
        <f t="shared" si="0"/>
        <v>A inf</v>
      </c>
      <c r="C19" s="136" t="str">
        <f t="shared" si="1"/>
        <v>B inf</v>
      </c>
      <c r="D19" s="136" t="str">
        <f t="shared" si="2"/>
        <v>C inf</v>
      </c>
      <c r="E19" s="136" t="str">
        <f>D$10</f>
        <v>D sup</v>
      </c>
      <c r="F19" s="136" t="str">
        <f>C$11</f>
        <v>E inf</v>
      </c>
      <c r="G19" s="136" t="str">
        <f>C$12</f>
        <v>F inf</v>
      </c>
      <c r="H19" s="4">
        <f t="shared" ref="H19:H28" si="4">MEDIAN(I19:M19)</f>
        <v>23.085000000000001</v>
      </c>
      <c r="I19" s="9">
        <v>23.085000000000001</v>
      </c>
      <c r="J19" s="9"/>
      <c r="K19" s="9"/>
      <c r="L19" s="9"/>
      <c r="M19" s="9"/>
      <c r="N19" s="62"/>
      <c r="P19" s="58"/>
      <c r="X19" s="58"/>
      <c r="Y19" s="58"/>
      <c r="Z19" s="58"/>
    </row>
    <row r="20" spans="1:26" ht="13.8">
      <c r="A20" s="136">
        <v>6</v>
      </c>
      <c r="B20" s="136" t="str">
        <f t="shared" si="0"/>
        <v>A inf</v>
      </c>
      <c r="C20" s="136" t="str">
        <f t="shared" si="1"/>
        <v>B inf</v>
      </c>
      <c r="D20" s="136" t="str">
        <f t="shared" si="2"/>
        <v>C inf</v>
      </c>
      <c r="E20" s="136" t="str">
        <f t="shared" ref="E20:E22" si="5">D$10</f>
        <v>D sup</v>
      </c>
      <c r="F20" s="136" t="str">
        <f>C$11</f>
        <v>E inf</v>
      </c>
      <c r="G20" s="136" t="str">
        <f>D$12</f>
        <v>F sup</v>
      </c>
      <c r="H20" s="4">
        <f t="shared" si="4"/>
        <v>25.367000000000001</v>
      </c>
      <c r="I20" s="9">
        <v>25.367000000000001</v>
      </c>
      <c r="J20" s="9"/>
      <c r="K20" s="9"/>
      <c r="L20" s="9"/>
      <c r="M20" s="9"/>
      <c r="N20" s="62"/>
    </row>
    <row r="21" spans="1:26" ht="13.8">
      <c r="A21" s="136">
        <v>7</v>
      </c>
      <c r="B21" s="136" t="str">
        <f t="shared" si="0"/>
        <v>A inf</v>
      </c>
      <c r="C21" s="136" t="str">
        <f t="shared" si="1"/>
        <v>B inf</v>
      </c>
      <c r="D21" s="136" t="str">
        <f t="shared" si="2"/>
        <v>C inf</v>
      </c>
      <c r="E21" s="136" t="str">
        <f t="shared" si="5"/>
        <v>D sup</v>
      </c>
      <c r="F21" s="136" t="str">
        <f>D$11</f>
        <v>E sup</v>
      </c>
      <c r="G21" s="136" t="str">
        <f>C$12</f>
        <v>F inf</v>
      </c>
      <c r="H21" s="4">
        <f t="shared" si="4"/>
        <v>23.676000000000002</v>
      </c>
      <c r="I21" s="9">
        <v>23.676000000000002</v>
      </c>
      <c r="J21" s="9"/>
      <c r="K21" s="9"/>
      <c r="L21" s="9"/>
      <c r="M21" s="9"/>
      <c r="N21" s="62"/>
      <c r="Q21" s="57" t="str">
        <f>B7</f>
        <v>A</v>
      </c>
      <c r="R21" s="57" t="str">
        <f>B7</f>
        <v>A</v>
      </c>
      <c r="S21" s="64" t="s">
        <v>33</v>
      </c>
    </row>
    <row r="22" spans="1:26" ht="13.8">
      <c r="A22" s="136">
        <v>8</v>
      </c>
      <c r="B22" s="136" t="str">
        <f t="shared" si="0"/>
        <v>A inf</v>
      </c>
      <c r="C22" s="136" t="str">
        <f t="shared" si="1"/>
        <v>B inf</v>
      </c>
      <c r="D22" s="136" t="str">
        <f t="shared" si="2"/>
        <v>C inf</v>
      </c>
      <c r="E22" s="136" t="str">
        <f t="shared" si="5"/>
        <v>D sup</v>
      </c>
      <c r="F22" s="136" t="str">
        <f>D$11</f>
        <v>E sup</v>
      </c>
      <c r="G22" s="136" t="str">
        <f>D$12</f>
        <v>F sup</v>
      </c>
      <c r="H22" s="4">
        <f t="shared" si="4"/>
        <v>25.667999999999999</v>
      </c>
      <c r="I22" s="9">
        <v>25.667999999999999</v>
      </c>
      <c r="J22" s="9"/>
      <c r="K22" s="9"/>
      <c r="L22" s="9"/>
      <c r="M22" s="9"/>
      <c r="N22" s="62"/>
      <c r="Q22" s="57" t="str">
        <f>C7</f>
        <v>A inf</v>
      </c>
      <c r="R22" s="57" t="str">
        <f>D7</f>
        <v>A sup</v>
      </c>
    </row>
    <row r="23" spans="1:26" ht="13.8">
      <c r="A23" s="136">
        <v>9</v>
      </c>
      <c r="B23" s="136" t="str">
        <f t="shared" si="0"/>
        <v>A inf</v>
      </c>
      <c r="C23" s="136" t="str">
        <f t="shared" si="1"/>
        <v>B inf</v>
      </c>
      <c r="D23" s="136" t="str">
        <f>D$9</f>
        <v>C sup</v>
      </c>
      <c r="E23" s="136" t="str">
        <f>C$10</f>
        <v>D inf</v>
      </c>
      <c r="F23" s="136" t="str">
        <f>C$11</f>
        <v>E inf</v>
      </c>
      <c r="G23" s="136" t="str">
        <f>C$12</f>
        <v>F inf</v>
      </c>
      <c r="H23" s="4">
        <f t="shared" si="4"/>
        <v>23.3</v>
      </c>
      <c r="I23" s="9">
        <v>23.3</v>
      </c>
      <c r="J23" s="9"/>
      <c r="K23" s="9"/>
      <c r="L23" s="9"/>
      <c r="M23" s="9"/>
      <c r="N23" s="62"/>
      <c r="O23" s="57" t="str">
        <f>C8</f>
        <v>B inf</v>
      </c>
      <c r="P23" s="57" t="str">
        <f>B8</f>
        <v>B</v>
      </c>
      <c r="Q23" s="65">
        <f>AVERAGE(sa1b1)</f>
        <v>24.525812500000001</v>
      </c>
      <c r="R23" s="65">
        <f>AVERAGE(sa2b1)</f>
        <v>13.346687500000002</v>
      </c>
    </row>
    <row r="24" spans="1:26" ht="13.8">
      <c r="A24" s="136">
        <v>10</v>
      </c>
      <c r="B24" s="136" t="str">
        <f t="shared" si="0"/>
        <v>A inf</v>
      </c>
      <c r="C24" s="136" t="str">
        <f t="shared" si="1"/>
        <v>B inf</v>
      </c>
      <c r="D24" s="136" t="str">
        <f t="shared" ref="D24:D30" si="6">D$9</f>
        <v>C sup</v>
      </c>
      <c r="E24" s="136" t="str">
        <f t="shared" ref="E24:E26" si="7">C$10</f>
        <v>D inf</v>
      </c>
      <c r="F24" s="136" t="str">
        <f>C$11</f>
        <v>E inf</v>
      </c>
      <c r="G24" s="136" t="str">
        <f>D$12</f>
        <v>F sup</v>
      </c>
      <c r="H24" s="4">
        <f t="shared" si="4"/>
        <v>25.094999999999999</v>
      </c>
      <c r="I24" s="9">
        <v>25.094999999999999</v>
      </c>
      <c r="J24" s="9"/>
      <c r="K24" s="9"/>
      <c r="L24" s="9"/>
      <c r="M24" s="9"/>
      <c r="N24" s="62"/>
      <c r="O24" s="57" t="str">
        <f>D8</f>
        <v>B sup</v>
      </c>
      <c r="P24" s="57" t="str">
        <f>B8</f>
        <v>B</v>
      </c>
      <c r="Q24" s="65">
        <f>AVERAGE(sa1b2)</f>
        <v>22.760937500000001</v>
      </c>
      <c r="R24" s="65">
        <f>AVERAGE(sa2b2)</f>
        <v>10.947562499999998</v>
      </c>
    </row>
    <row r="25" spans="1:26" ht="13.8">
      <c r="A25" s="136">
        <v>11</v>
      </c>
      <c r="B25" s="136" t="str">
        <f t="shared" si="0"/>
        <v>A inf</v>
      </c>
      <c r="C25" s="136" t="str">
        <f t="shared" si="1"/>
        <v>B inf</v>
      </c>
      <c r="D25" s="136" t="str">
        <f t="shared" si="6"/>
        <v>C sup</v>
      </c>
      <c r="E25" s="136" t="str">
        <f t="shared" si="7"/>
        <v>D inf</v>
      </c>
      <c r="F25" s="136" t="str">
        <f>D$11</f>
        <v>E sup</v>
      </c>
      <c r="G25" s="136" t="str">
        <f>C$12</f>
        <v>F inf</v>
      </c>
      <c r="H25" s="4">
        <f t="shared" si="4"/>
        <v>27.661000000000001</v>
      </c>
      <c r="I25" s="9">
        <v>27.661000000000001</v>
      </c>
      <c r="J25" s="9"/>
      <c r="K25" s="9"/>
      <c r="L25" s="9"/>
      <c r="M25" s="9"/>
      <c r="N25" s="62"/>
      <c r="O25" s="57" t="s">
        <v>55</v>
      </c>
      <c r="P25" s="57"/>
      <c r="Q25" s="65"/>
      <c r="R25" s="65"/>
    </row>
    <row r="26" spans="1:26" ht="13.8">
      <c r="A26" s="136">
        <v>12</v>
      </c>
      <c r="B26" s="136" t="str">
        <f t="shared" si="0"/>
        <v>A inf</v>
      </c>
      <c r="C26" s="136" t="str">
        <f t="shared" si="1"/>
        <v>B inf</v>
      </c>
      <c r="D26" s="136" t="str">
        <f t="shared" si="6"/>
        <v>C sup</v>
      </c>
      <c r="E26" s="136" t="str">
        <f t="shared" si="7"/>
        <v>D inf</v>
      </c>
      <c r="F26" s="136" t="str">
        <f>D$11</f>
        <v>E sup</v>
      </c>
      <c r="G26" s="136" t="str">
        <f>D$12</f>
        <v>F sup</v>
      </c>
      <c r="H26" s="4">
        <f t="shared" si="4"/>
        <v>32.397999999999996</v>
      </c>
      <c r="I26" s="9">
        <v>32.397999999999996</v>
      </c>
      <c r="J26" s="9"/>
      <c r="K26" s="9"/>
      <c r="L26" s="9"/>
      <c r="M26" s="9"/>
      <c r="N26" s="62"/>
      <c r="O26" s="57" t="str">
        <f>C9</f>
        <v>C inf</v>
      </c>
      <c r="P26" s="57" t="str">
        <f>B9</f>
        <v>C</v>
      </c>
      <c r="Q26" s="65">
        <f>AVERAGE(sa1c1)</f>
        <v>25.737687500000003</v>
      </c>
      <c r="R26" s="65">
        <f>AVERAGE(sa2c1)</f>
        <v>13.726687500000001</v>
      </c>
    </row>
    <row r="27" spans="1:26" ht="13.8">
      <c r="A27" s="136">
        <v>13</v>
      </c>
      <c r="B27" s="136" t="str">
        <f t="shared" si="0"/>
        <v>A inf</v>
      </c>
      <c r="C27" s="136" t="str">
        <f t="shared" si="1"/>
        <v>B inf</v>
      </c>
      <c r="D27" s="136" t="str">
        <f t="shared" si="6"/>
        <v>C sup</v>
      </c>
      <c r="E27" s="136" t="str">
        <f>D$10</f>
        <v>D sup</v>
      </c>
      <c r="F27" s="136" t="str">
        <f>C$11</f>
        <v>E inf</v>
      </c>
      <c r="G27" s="136" t="str">
        <f>C$12</f>
        <v>F inf</v>
      </c>
      <c r="H27" s="4">
        <f t="shared" si="4"/>
        <v>17.538</v>
      </c>
      <c r="I27" s="9">
        <v>17.538</v>
      </c>
      <c r="J27" s="9"/>
      <c r="K27" s="9"/>
      <c r="L27" s="9"/>
      <c r="M27" s="9"/>
      <c r="N27" s="62"/>
      <c r="O27" s="57" t="str">
        <f>D9</f>
        <v>C sup</v>
      </c>
      <c r="P27" s="57" t="str">
        <f>B9</f>
        <v>C</v>
      </c>
      <c r="Q27" s="65">
        <f>AVERAGE(sa1c2)</f>
        <v>21.549062499999998</v>
      </c>
      <c r="R27" s="65">
        <f>AVERAGE(sa2c2)</f>
        <v>10.567562499999999</v>
      </c>
    </row>
    <row r="28" spans="1:26" ht="13.8">
      <c r="A28" s="136">
        <v>14</v>
      </c>
      <c r="B28" s="136" t="str">
        <f t="shared" si="0"/>
        <v>A inf</v>
      </c>
      <c r="C28" s="136" t="str">
        <f t="shared" si="1"/>
        <v>B inf</v>
      </c>
      <c r="D28" s="136" t="str">
        <f t="shared" si="6"/>
        <v>C sup</v>
      </c>
      <c r="E28" s="136" t="str">
        <f t="shared" ref="E28:E30" si="8">D$10</f>
        <v>D sup</v>
      </c>
      <c r="F28" s="136" t="str">
        <f>C$11</f>
        <v>E inf</v>
      </c>
      <c r="G28" s="136" t="str">
        <f>D$12</f>
        <v>F sup</v>
      </c>
      <c r="H28" s="4">
        <f t="shared" si="4"/>
        <v>22.687999999999999</v>
      </c>
      <c r="I28" s="9">
        <v>22.687999999999999</v>
      </c>
      <c r="J28" s="9"/>
      <c r="K28" s="9"/>
      <c r="L28" s="9"/>
      <c r="M28" s="9"/>
      <c r="N28" s="62"/>
      <c r="O28" s="54" t="s">
        <v>55</v>
      </c>
      <c r="Q28" s="65"/>
      <c r="R28" s="65"/>
    </row>
    <row r="29" spans="1:26" ht="13.8">
      <c r="A29" s="136">
        <v>15</v>
      </c>
      <c r="B29" s="136" t="str">
        <f t="shared" si="0"/>
        <v>A inf</v>
      </c>
      <c r="C29" s="136" t="str">
        <f t="shared" si="1"/>
        <v>B inf</v>
      </c>
      <c r="D29" s="136" t="str">
        <f t="shared" si="6"/>
        <v>C sup</v>
      </c>
      <c r="E29" s="136" t="str">
        <f t="shared" si="8"/>
        <v>D sup</v>
      </c>
      <c r="F29" s="136" t="str">
        <f>D$11</f>
        <v>E sup</v>
      </c>
      <c r="G29" s="136" t="str">
        <f>C$12</f>
        <v>F inf</v>
      </c>
      <c r="H29" s="4">
        <f>MEDIAN(I29:M29)</f>
        <v>26.661000000000001</v>
      </c>
      <c r="I29" s="9">
        <v>26.661000000000001</v>
      </c>
      <c r="J29" s="9"/>
      <c r="K29" s="9"/>
      <c r="L29" s="9"/>
      <c r="M29" s="9"/>
      <c r="N29" s="62"/>
      <c r="O29" s="57" t="str">
        <f>C10</f>
        <v>D inf</v>
      </c>
      <c r="P29" s="57" t="str">
        <f>B10</f>
        <v>D</v>
      </c>
      <c r="Q29" s="65">
        <f>AVERAGE(sa1d1)</f>
        <v>23.866937500000002</v>
      </c>
      <c r="R29" s="65">
        <f>AVERAGE(sa2d1)</f>
        <v>11.579625</v>
      </c>
    </row>
    <row r="30" spans="1:26" ht="13.8">
      <c r="A30" s="136">
        <v>16</v>
      </c>
      <c r="B30" s="136" t="str">
        <f t="shared" si="0"/>
        <v>A inf</v>
      </c>
      <c r="C30" s="136" t="str">
        <f t="shared" si="1"/>
        <v>B inf</v>
      </c>
      <c r="D30" s="136" t="str">
        <f t="shared" si="6"/>
        <v>C sup</v>
      </c>
      <c r="E30" s="136" t="str">
        <f t="shared" si="8"/>
        <v>D sup</v>
      </c>
      <c r="F30" s="136" t="str">
        <f>D$11</f>
        <v>E sup</v>
      </c>
      <c r="G30" s="136" t="str">
        <f>D$12</f>
        <v>F sup</v>
      </c>
      <c r="H30" s="4">
        <f>MEDIAN(I30:M30)</f>
        <v>21.146999999999998</v>
      </c>
      <c r="I30" s="9">
        <v>21.146999999999998</v>
      </c>
      <c r="J30" s="9"/>
      <c r="K30" s="9"/>
      <c r="L30" s="9"/>
      <c r="M30" s="9"/>
      <c r="N30" s="62"/>
      <c r="O30" s="57" t="str">
        <f>D10</f>
        <v>D sup</v>
      </c>
      <c r="P30" s="57" t="str">
        <f>B10</f>
        <v>D</v>
      </c>
      <c r="Q30" s="65">
        <f>AVERAGE(sa1d2)</f>
        <v>23.419812499999999</v>
      </c>
      <c r="R30" s="65">
        <f>AVERAGE(sa2d2)</f>
        <v>12.714625</v>
      </c>
    </row>
    <row r="31" spans="1:26" ht="13.8">
      <c r="A31" s="136">
        <v>17</v>
      </c>
      <c r="B31" s="136" t="str">
        <f t="shared" si="0"/>
        <v>A inf</v>
      </c>
      <c r="C31" s="136" t="str">
        <f>D$8</f>
        <v>B sup</v>
      </c>
      <c r="D31" s="136" t="str">
        <f>C$9</f>
        <v>C inf</v>
      </c>
      <c r="E31" s="136" t="str">
        <f>C$10</f>
        <v>D inf</v>
      </c>
      <c r="F31" s="136" t="str">
        <f>C$11</f>
        <v>E inf</v>
      </c>
      <c r="G31" s="136" t="str">
        <f>C$12</f>
        <v>F inf</v>
      </c>
      <c r="H31" s="4">
        <f t="shared" ref="H31:H41" si="9">MEDIAN(I31:M31)</f>
        <v>27.442</v>
      </c>
      <c r="I31" s="9">
        <v>27.442</v>
      </c>
      <c r="J31" s="9"/>
      <c r="K31" s="9"/>
      <c r="L31" s="9"/>
      <c r="M31" s="9"/>
      <c r="N31" s="62"/>
      <c r="O31" s="54" t="s">
        <v>55</v>
      </c>
      <c r="Q31" s="65"/>
      <c r="R31" s="65"/>
    </row>
    <row r="32" spans="1:26" ht="13.8">
      <c r="A32" s="136">
        <v>18</v>
      </c>
      <c r="B32" s="136" t="str">
        <f t="shared" si="0"/>
        <v>A inf</v>
      </c>
      <c r="C32" s="136" t="str">
        <f t="shared" ref="C32:C46" si="10">D$8</f>
        <v>B sup</v>
      </c>
      <c r="D32" s="136" t="str">
        <f t="shared" ref="D32:D38" si="11">C$9</f>
        <v>C inf</v>
      </c>
      <c r="E32" s="136" t="str">
        <f t="shared" ref="E32:E34" si="12">C$10</f>
        <v>D inf</v>
      </c>
      <c r="F32" s="136" t="str">
        <f>C$11</f>
        <v>E inf</v>
      </c>
      <c r="G32" s="136" t="str">
        <f>D$12</f>
        <v>F sup</v>
      </c>
      <c r="H32" s="4">
        <f t="shared" si="9"/>
        <v>24.312000000000001</v>
      </c>
      <c r="I32" s="9">
        <v>24.312000000000001</v>
      </c>
      <c r="J32" s="9"/>
      <c r="K32" s="9"/>
      <c r="L32" s="9"/>
      <c r="M32" s="9"/>
      <c r="N32" s="62"/>
      <c r="O32" s="57" t="str">
        <f>C11</f>
        <v>E inf</v>
      </c>
      <c r="P32" s="57" t="str">
        <f>B11</f>
        <v>E</v>
      </c>
      <c r="Q32" s="65">
        <f>AVERAGE(sa1e1)</f>
        <v>22.939250000000001</v>
      </c>
      <c r="R32" s="65">
        <f>AVERAGE(sa2e1)</f>
        <v>12.000187500000001</v>
      </c>
    </row>
    <row r="33" spans="1:26" ht="13.8">
      <c r="A33" s="136">
        <v>19</v>
      </c>
      <c r="B33" s="136" t="str">
        <f t="shared" si="0"/>
        <v>A inf</v>
      </c>
      <c r="C33" s="136" t="str">
        <f t="shared" si="10"/>
        <v>B sup</v>
      </c>
      <c r="D33" s="136" t="str">
        <f t="shared" si="11"/>
        <v>C inf</v>
      </c>
      <c r="E33" s="136" t="str">
        <f t="shared" si="12"/>
        <v>D inf</v>
      </c>
      <c r="F33" s="136" t="str">
        <f>D$11</f>
        <v>E sup</v>
      </c>
      <c r="G33" s="136" t="str">
        <f>C$12</f>
        <v>F inf</v>
      </c>
      <c r="H33" s="4">
        <f t="shared" si="9"/>
        <v>29.439999999999998</v>
      </c>
      <c r="I33" s="9">
        <v>29.439999999999998</v>
      </c>
      <c r="J33" s="9"/>
      <c r="K33" s="9"/>
      <c r="L33" s="9"/>
      <c r="M33" s="9"/>
      <c r="N33" s="62"/>
      <c r="O33" s="57" t="str">
        <f>D11</f>
        <v>E sup</v>
      </c>
      <c r="P33" s="57" t="str">
        <f>B11</f>
        <v>E</v>
      </c>
      <c r="Q33" s="65">
        <f>AVERAGE(sa1e2)</f>
        <v>24.3475</v>
      </c>
      <c r="R33" s="65">
        <f>AVERAGE(sa2e2)</f>
        <v>12.294062499999997</v>
      </c>
    </row>
    <row r="34" spans="1:26" ht="13.8">
      <c r="A34" s="136">
        <v>20</v>
      </c>
      <c r="B34" s="136" t="str">
        <f t="shared" si="0"/>
        <v>A inf</v>
      </c>
      <c r="C34" s="136" t="str">
        <f t="shared" si="10"/>
        <v>B sup</v>
      </c>
      <c r="D34" s="136" t="str">
        <f t="shared" si="11"/>
        <v>C inf</v>
      </c>
      <c r="E34" s="136" t="str">
        <f t="shared" si="12"/>
        <v>D inf</v>
      </c>
      <c r="F34" s="136" t="str">
        <f>D$11</f>
        <v>E sup</v>
      </c>
      <c r="G34" s="136" t="str">
        <f>D$12</f>
        <v>F sup</v>
      </c>
      <c r="H34" s="4">
        <f t="shared" si="9"/>
        <v>18.433999999999997</v>
      </c>
      <c r="I34" s="9">
        <v>18.433999999999997</v>
      </c>
      <c r="J34" s="9"/>
      <c r="K34" s="9"/>
      <c r="L34" s="9"/>
      <c r="M34" s="9"/>
      <c r="N34" s="62"/>
      <c r="O34" s="54" t="s">
        <v>55</v>
      </c>
      <c r="Q34" s="65"/>
      <c r="R34" s="65"/>
      <c r="T34" s="58"/>
      <c r="V34" s="58"/>
      <c r="W34" s="58"/>
      <c r="X34" s="58"/>
      <c r="Y34" s="58"/>
      <c r="Z34" s="58"/>
    </row>
    <row r="35" spans="1:26" ht="13.8">
      <c r="A35" s="136">
        <v>21</v>
      </c>
      <c r="B35" s="136" t="str">
        <f t="shared" si="0"/>
        <v>A inf</v>
      </c>
      <c r="C35" s="136" t="str">
        <f t="shared" si="10"/>
        <v>B sup</v>
      </c>
      <c r="D35" s="136" t="str">
        <f t="shared" si="11"/>
        <v>C inf</v>
      </c>
      <c r="E35" s="136" t="str">
        <f>D$10</f>
        <v>D sup</v>
      </c>
      <c r="F35" s="136" t="str">
        <f>C$11</f>
        <v>E inf</v>
      </c>
      <c r="G35" s="136" t="str">
        <f>C$12</f>
        <v>F inf</v>
      </c>
      <c r="H35" s="4">
        <f t="shared" si="9"/>
        <v>25.728000000000002</v>
      </c>
      <c r="I35" s="9">
        <v>25.728000000000002</v>
      </c>
      <c r="J35" s="9"/>
      <c r="K35" s="9"/>
      <c r="L35" s="9"/>
      <c r="M35" s="9"/>
      <c r="N35" s="62"/>
      <c r="O35" s="57" t="str">
        <f>C12</f>
        <v>F inf</v>
      </c>
      <c r="P35" s="57" t="str">
        <f>B12</f>
        <v>F</v>
      </c>
      <c r="Q35" s="65">
        <f>AVERAGE(sa1f1)</f>
        <v>23.581625000000003</v>
      </c>
      <c r="R35" s="65">
        <f>AVERAGE(sa2f1)</f>
        <v>11.911750000000001</v>
      </c>
      <c r="X35" s="58"/>
      <c r="Y35" s="58"/>
      <c r="Z35" s="58"/>
    </row>
    <row r="36" spans="1:26" ht="13.8">
      <c r="A36" s="136">
        <v>22</v>
      </c>
      <c r="B36" s="136" t="str">
        <f t="shared" si="0"/>
        <v>A inf</v>
      </c>
      <c r="C36" s="136" t="str">
        <f t="shared" si="10"/>
        <v>B sup</v>
      </c>
      <c r="D36" s="136" t="str">
        <f t="shared" si="11"/>
        <v>C inf</v>
      </c>
      <c r="E36" s="136" t="str">
        <f t="shared" ref="E36:E38" si="13">D$10</f>
        <v>D sup</v>
      </c>
      <c r="F36" s="136" t="str">
        <f>C$11</f>
        <v>E inf</v>
      </c>
      <c r="G36" s="136" t="str">
        <f>D$12</f>
        <v>F sup</v>
      </c>
      <c r="H36" s="4">
        <f t="shared" si="9"/>
        <v>28.027999999999999</v>
      </c>
      <c r="I36" s="9">
        <v>28.027999999999999</v>
      </c>
      <c r="J36" s="9"/>
      <c r="K36" s="9"/>
      <c r="L36" s="9"/>
      <c r="M36" s="9"/>
      <c r="N36" s="62"/>
      <c r="O36" s="57" t="str">
        <f>D12</f>
        <v>F sup</v>
      </c>
      <c r="P36" s="57" t="str">
        <f>B12</f>
        <v>F</v>
      </c>
      <c r="Q36" s="65">
        <f>AVERAGE(sa1f2)</f>
        <v>23.705124999999999</v>
      </c>
      <c r="R36" s="65">
        <f>AVERAGE(sa2f2)</f>
        <v>12.3825</v>
      </c>
    </row>
    <row r="37" spans="1:26" ht="13.8">
      <c r="A37" s="136">
        <v>23</v>
      </c>
      <c r="B37" s="136" t="str">
        <f t="shared" si="0"/>
        <v>A inf</v>
      </c>
      <c r="C37" s="136" t="str">
        <f t="shared" si="10"/>
        <v>B sup</v>
      </c>
      <c r="D37" s="136" t="str">
        <f t="shared" si="11"/>
        <v>C inf</v>
      </c>
      <c r="E37" s="136" t="str">
        <f t="shared" si="13"/>
        <v>D sup</v>
      </c>
      <c r="F37" s="136" t="str">
        <f>D$11</f>
        <v>E sup</v>
      </c>
      <c r="G37" s="136" t="str">
        <f>C$12</f>
        <v>F inf</v>
      </c>
      <c r="H37" s="4">
        <f t="shared" si="9"/>
        <v>23.818999999999999</v>
      </c>
      <c r="I37" s="9">
        <v>23.818999999999999</v>
      </c>
      <c r="J37" s="9"/>
      <c r="K37" s="9"/>
      <c r="L37" s="9"/>
      <c r="M37" s="9"/>
      <c r="N37" s="62"/>
    </row>
    <row r="38" spans="1:26" ht="13.8">
      <c r="A38" s="136">
        <v>24</v>
      </c>
      <c r="B38" s="136" t="str">
        <f t="shared" si="0"/>
        <v>A inf</v>
      </c>
      <c r="C38" s="136" t="str">
        <f t="shared" si="10"/>
        <v>B sup</v>
      </c>
      <c r="D38" s="136" t="str">
        <f t="shared" si="11"/>
        <v>C inf</v>
      </c>
      <c r="E38" s="136" t="str">
        <f t="shared" si="13"/>
        <v>D sup</v>
      </c>
      <c r="F38" s="136" t="str">
        <f>D$11</f>
        <v>E sup</v>
      </c>
      <c r="G38" s="136" t="str">
        <f>D$12</f>
        <v>F sup</v>
      </c>
      <c r="H38" s="4">
        <f t="shared" si="9"/>
        <v>38.674999999999997</v>
      </c>
      <c r="I38" s="9">
        <v>38.674999999999997</v>
      </c>
      <c r="J38" s="9"/>
      <c r="K38" s="9"/>
      <c r="L38" s="9"/>
      <c r="M38" s="9"/>
      <c r="N38" s="62"/>
    </row>
    <row r="39" spans="1:26" ht="13.8">
      <c r="A39" s="136">
        <v>25</v>
      </c>
      <c r="B39" s="136" t="str">
        <f t="shared" si="0"/>
        <v>A inf</v>
      </c>
      <c r="C39" s="136" t="str">
        <f t="shared" si="10"/>
        <v>B sup</v>
      </c>
      <c r="D39" s="136" t="str">
        <f>D$9</f>
        <v>C sup</v>
      </c>
      <c r="E39" s="136" t="str">
        <f>C$10</f>
        <v>D inf</v>
      </c>
      <c r="F39" s="136" t="str">
        <f>C$11</f>
        <v>E inf</v>
      </c>
      <c r="G39" s="136" t="str">
        <f>C$12</f>
        <v>F inf</v>
      </c>
      <c r="H39" s="4">
        <f t="shared" si="9"/>
        <v>14.833</v>
      </c>
      <c r="I39" s="9">
        <v>14.833</v>
      </c>
      <c r="J39" s="9"/>
      <c r="K39" s="9"/>
      <c r="L39" s="9"/>
      <c r="M39" s="9"/>
      <c r="N39" s="62"/>
    </row>
    <row r="40" spans="1:26" ht="13.8">
      <c r="A40" s="136">
        <v>26</v>
      </c>
      <c r="B40" s="136" t="str">
        <f t="shared" si="0"/>
        <v>A inf</v>
      </c>
      <c r="C40" s="136" t="str">
        <f t="shared" si="10"/>
        <v>B sup</v>
      </c>
      <c r="D40" s="136" t="str">
        <f t="shared" ref="D40:D46" si="14">D$9</f>
        <v>C sup</v>
      </c>
      <c r="E40" s="136" t="str">
        <f t="shared" ref="E40:E42" si="15">C$10</f>
        <v>D inf</v>
      </c>
      <c r="F40" s="136" t="str">
        <f>C$11</f>
        <v>E inf</v>
      </c>
      <c r="G40" s="136" t="str">
        <f>D$12</f>
        <v>F sup</v>
      </c>
      <c r="H40" s="4">
        <f t="shared" si="9"/>
        <v>14.94</v>
      </c>
      <c r="I40" s="9">
        <v>14.94</v>
      </c>
      <c r="J40" s="9"/>
      <c r="K40" s="9"/>
      <c r="L40" s="9"/>
      <c r="M40" s="9"/>
      <c r="N40" s="62"/>
    </row>
    <row r="41" spans="1:26" ht="13.8">
      <c r="A41" s="136">
        <v>27</v>
      </c>
      <c r="B41" s="136" t="str">
        <f t="shared" si="0"/>
        <v>A inf</v>
      </c>
      <c r="C41" s="136" t="str">
        <f t="shared" si="10"/>
        <v>B sup</v>
      </c>
      <c r="D41" s="136" t="str">
        <f t="shared" si="14"/>
        <v>C sup</v>
      </c>
      <c r="E41" s="136" t="str">
        <f t="shared" si="15"/>
        <v>D inf</v>
      </c>
      <c r="F41" s="136" t="str">
        <f>D$11</f>
        <v>E sup</v>
      </c>
      <c r="G41" s="136" t="str">
        <f>C$12</f>
        <v>F inf</v>
      </c>
      <c r="H41" s="4">
        <f t="shared" si="9"/>
        <v>24.954999999999998</v>
      </c>
      <c r="I41" s="9">
        <v>24.954999999999998</v>
      </c>
      <c r="J41" s="9"/>
      <c r="K41" s="9"/>
      <c r="L41" s="9"/>
      <c r="M41" s="9"/>
      <c r="N41" s="62"/>
      <c r="Q41" s="57" t="str">
        <f>B8</f>
        <v>B</v>
      </c>
      <c r="R41" s="57" t="str">
        <f>B8</f>
        <v>B</v>
      </c>
      <c r="S41" s="64" t="s">
        <v>37</v>
      </c>
    </row>
    <row r="42" spans="1:26" ht="13.8">
      <c r="A42" s="136">
        <v>28</v>
      </c>
      <c r="B42" s="136" t="str">
        <f t="shared" si="0"/>
        <v>A inf</v>
      </c>
      <c r="C42" s="136" t="str">
        <f t="shared" si="10"/>
        <v>B sup</v>
      </c>
      <c r="D42" s="136" t="str">
        <f t="shared" si="14"/>
        <v>C sup</v>
      </c>
      <c r="E42" s="136" t="str">
        <f t="shared" si="15"/>
        <v>D inf</v>
      </c>
      <c r="F42" s="136" t="str">
        <f>D$11</f>
        <v>E sup</v>
      </c>
      <c r="G42" s="136" t="str">
        <f>D$12</f>
        <v>F sup</v>
      </c>
      <c r="H42" s="4">
        <f t="shared" ref="H42:H50" si="16">MEDIAN(I42:M42)</f>
        <v>20.932000000000002</v>
      </c>
      <c r="I42" s="9">
        <v>20.932000000000002</v>
      </c>
      <c r="J42" s="9"/>
      <c r="K42" s="9"/>
      <c r="L42" s="9"/>
      <c r="M42" s="9"/>
      <c r="N42" s="62"/>
      <c r="P42" s="58"/>
      <c r="Q42" s="57" t="str">
        <f>C8</f>
        <v>B inf</v>
      </c>
      <c r="R42" s="57" t="str">
        <f>D8</f>
        <v>B sup</v>
      </c>
      <c r="S42" s="58"/>
    </row>
    <row r="43" spans="1:26" ht="13.8">
      <c r="A43" s="136">
        <v>29</v>
      </c>
      <c r="B43" s="136" t="str">
        <f t="shared" si="0"/>
        <v>A inf</v>
      </c>
      <c r="C43" s="136" t="str">
        <f t="shared" si="10"/>
        <v>B sup</v>
      </c>
      <c r="D43" s="136" t="str">
        <f t="shared" si="14"/>
        <v>C sup</v>
      </c>
      <c r="E43" s="136" t="str">
        <f>D$10</f>
        <v>D sup</v>
      </c>
      <c r="F43" s="136" t="str">
        <f>C$11</f>
        <v>E inf</v>
      </c>
      <c r="G43" s="136" t="str">
        <f>C$12</f>
        <v>F inf</v>
      </c>
      <c r="H43" s="4">
        <f t="shared" si="16"/>
        <v>20.298000000000002</v>
      </c>
      <c r="I43" s="9">
        <v>20.298000000000002</v>
      </c>
      <c r="J43" s="9"/>
      <c r="K43" s="9"/>
      <c r="L43" s="9"/>
      <c r="M43" s="9"/>
      <c r="N43" s="62"/>
      <c r="O43" s="57" t="str">
        <f>C9</f>
        <v>C inf</v>
      </c>
      <c r="P43" s="57" t="str">
        <f>B9</f>
        <v>C</v>
      </c>
      <c r="Q43" s="65">
        <f>AVERAGE(sb1c1)</f>
        <v>19.878875000000004</v>
      </c>
      <c r="R43" s="65">
        <f>AVERAGE(sb2c1)</f>
        <v>19.5855</v>
      </c>
    </row>
    <row r="44" spans="1:26" ht="13.8">
      <c r="A44" s="136">
        <v>30</v>
      </c>
      <c r="B44" s="136" t="str">
        <f t="shared" si="0"/>
        <v>A inf</v>
      </c>
      <c r="C44" s="136" t="str">
        <f t="shared" si="10"/>
        <v>B sup</v>
      </c>
      <c r="D44" s="136" t="str">
        <f t="shared" si="14"/>
        <v>C sup</v>
      </c>
      <c r="E44" s="136" t="str">
        <f t="shared" ref="E44:E46" si="17">D$10</f>
        <v>D sup</v>
      </c>
      <c r="F44" s="136" t="str">
        <f>C$11</f>
        <v>E inf</v>
      </c>
      <c r="G44" s="136" t="str">
        <f>D$12</f>
        <v>F sup</v>
      </c>
      <c r="H44" s="4">
        <f t="shared" si="16"/>
        <v>15.923999999999999</v>
      </c>
      <c r="I44" s="9">
        <v>15.923999999999999</v>
      </c>
      <c r="J44" s="9"/>
      <c r="K44" s="9"/>
      <c r="L44" s="9"/>
      <c r="M44" s="9"/>
      <c r="N44" s="62"/>
      <c r="O44" s="57" t="str">
        <f>D9</f>
        <v>C sup</v>
      </c>
      <c r="P44" s="57" t="str">
        <f>B9</f>
        <v>C</v>
      </c>
      <c r="Q44" s="65">
        <f>AVERAGE(sb1c2)</f>
        <v>17.993625000000002</v>
      </c>
      <c r="R44" s="65">
        <f>AVERAGE(sb2c2)</f>
        <v>14.122999999999999</v>
      </c>
    </row>
    <row r="45" spans="1:26" ht="13.8">
      <c r="A45" s="136">
        <v>31</v>
      </c>
      <c r="B45" s="136" t="str">
        <f t="shared" si="0"/>
        <v>A inf</v>
      </c>
      <c r="C45" s="136" t="str">
        <f t="shared" si="10"/>
        <v>B sup</v>
      </c>
      <c r="D45" s="136" t="str">
        <f t="shared" si="14"/>
        <v>C sup</v>
      </c>
      <c r="E45" s="136" t="str">
        <f t="shared" si="17"/>
        <v>D sup</v>
      </c>
      <c r="F45" s="136" t="str">
        <f>D$11</f>
        <v>E sup</v>
      </c>
      <c r="G45" s="136" t="str">
        <f>C$12</f>
        <v>F inf</v>
      </c>
      <c r="H45" s="4">
        <f t="shared" si="16"/>
        <v>20.742000000000001</v>
      </c>
      <c r="I45" s="9">
        <v>20.742000000000001</v>
      </c>
      <c r="J45" s="9"/>
      <c r="K45" s="9"/>
      <c r="L45" s="9"/>
      <c r="M45" s="9"/>
      <c r="N45" s="62"/>
      <c r="O45" s="57" t="s">
        <v>55</v>
      </c>
      <c r="P45" s="57"/>
      <c r="Q45" s="65"/>
      <c r="R45" s="65"/>
    </row>
    <row r="46" spans="1:26" ht="13.8">
      <c r="A46" s="136">
        <v>32</v>
      </c>
      <c r="B46" s="136" t="str">
        <f t="shared" si="0"/>
        <v>A inf</v>
      </c>
      <c r="C46" s="136" t="str">
        <f t="shared" si="10"/>
        <v>B sup</v>
      </c>
      <c r="D46" s="136" t="str">
        <f t="shared" si="14"/>
        <v>C sup</v>
      </c>
      <c r="E46" s="136" t="str">
        <f t="shared" si="17"/>
        <v>D sup</v>
      </c>
      <c r="F46" s="136" t="str">
        <f>D$11</f>
        <v>E sup</v>
      </c>
      <c r="G46" s="136" t="str">
        <f>D$12</f>
        <v>F sup</v>
      </c>
      <c r="H46" s="4">
        <f t="shared" si="16"/>
        <v>15.673</v>
      </c>
      <c r="I46" s="9">
        <v>15.673</v>
      </c>
      <c r="J46" s="9"/>
      <c r="K46" s="9"/>
      <c r="L46" s="9"/>
      <c r="M46" s="9"/>
      <c r="N46" s="62"/>
      <c r="O46" s="57" t="str">
        <f>C10</f>
        <v>D inf</v>
      </c>
      <c r="P46" s="57" t="str">
        <f>B10</f>
        <v>D</v>
      </c>
      <c r="Q46" s="65">
        <f>AVERAGE(sb1d1)</f>
        <v>19.401812500000002</v>
      </c>
      <c r="R46" s="65">
        <f>AVERAGE(sb2d1)</f>
        <v>16.044750000000001</v>
      </c>
    </row>
    <row r="47" spans="1:26" ht="13.8">
      <c r="A47" s="136">
        <v>33</v>
      </c>
      <c r="B47" s="136" t="str">
        <f>D$7</f>
        <v>A sup</v>
      </c>
      <c r="C47" s="136" t="str">
        <f>C$8</f>
        <v>B inf</v>
      </c>
      <c r="D47" s="136" t="str">
        <f>C$9</f>
        <v>C inf</v>
      </c>
      <c r="E47" s="136" t="str">
        <f>C$10</f>
        <v>D inf</v>
      </c>
      <c r="F47" s="136" t="str">
        <f>C$11</f>
        <v>E inf</v>
      </c>
      <c r="G47" s="136" t="str">
        <f>C$12</f>
        <v>F inf</v>
      </c>
      <c r="H47" s="4">
        <f t="shared" si="16"/>
        <v>10.554</v>
      </c>
      <c r="I47" s="9">
        <v>10.554</v>
      </c>
      <c r="J47" s="9"/>
      <c r="K47" s="9"/>
      <c r="L47" s="9"/>
      <c r="M47" s="9"/>
      <c r="N47" s="62"/>
      <c r="O47" s="57" t="str">
        <f>D10</f>
        <v>D sup</v>
      </c>
      <c r="P47" s="57" t="str">
        <f>B10</f>
        <v>D</v>
      </c>
      <c r="Q47" s="65">
        <f>AVERAGE(sb1d2)</f>
        <v>18.4706875</v>
      </c>
      <c r="R47" s="65">
        <f>AVERAGE(sb2d2)</f>
        <v>17.66375</v>
      </c>
    </row>
    <row r="48" spans="1:26" ht="13.8">
      <c r="A48" s="136">
        <v>34</v>
      </c>
      <c r="B48" s="136" t="str">
        <f t="shared" ref="B48:B78" si="18">D$7</f>
        <v>A sup</v>
      </c>
      <c r="C48" s="136" t="str">
        <f t="shared" ref="C48:C62" si="19">C$8</f>
        <v>B inf</v>
      </c>
      <c r="D48" s="136" t="str">
        <f t="shared" ref="D48:D54" si="20">C$9</f>
        <v>C inf</v>
      </c>
      <c r="E48" s="136" t="str">
        <f t="shared" ref="E48:E50" si="21">C$10</f>
        <v>D inf</v>
      </c>
      <c r="F48" s="136" t="str">
        <f>C$11</f>
        <v>E inf</v>
      </c>
      <c r="G48" s="136" t="str">
        <f>D$12</f>
        <v>F sup</v>
      </c>
      <c r="H48" s="4">
        <f t="shared" si="16"/>
        <v>19.396999999999998</v>
      </c>
      <c r="I48" s="9">
        <v>19.396999999999998</v>
      </c>
      <c r="J48" s="9"/>
      <c r="K48" s="9"/>
      <c r="L48" s="9"/>
      <c r="M48" s="9"/>
      <c r="N48" s="62"/>
      <c r="O48" s="54" t="s">
        <v>55</v>
      </c>
      <c r="Q48" s="65"/>
      <c r="R48" s="65"/>
    </row>
    <row r="49" spans="1:26" ht="13.8">
      <c r="A49" s="136">
        <v>35</v>
      </c>
      <c r="B49" s="136" t="str">
        <f t="shared" si="18"/>
        <v>A sup</v>
      </c>
      <c r="C49" s="136" t="str">
        <f t="shared" si="19"/>
        <v>B inf</v>
      </c>
      <c r="D49" s="136" t="str">
        <f t="shared" si="20"/>
        <v>C inf</v>
      </c>
      <c r="E49" s="136" t="str">
        <f t="shared" si="21"/>
        <v>D inf</v>
      </c>
      <c r="F49" s="136" t="str">
        <f>D$11</f>
        <v>E sup</v>
      </c>
      <c r="G49" s="136" t="str">
        <f>C$12</f>
        <v>F inf</v>
      </c>
      <c r="H49" s="4">
        <f t="shared" si="16"/>
        <v>17.292999999999999</v>
      </c>
      <c r="I49" s="9">
        <v>17.292999999999999</v>
      </c>
      <c r="J49" s="9"/>
      <c r="K49" s="9"/>
      <c r="L49" s="9"/>
      <c r="M49" s="9"/>
      <c r="N49" s="62"/>
      <c r="O49" s="57" t="str">
        <f>C11</f>
        <v>E inf</v>
      </c>
      <c r="P49" s="57" t="str">
        <f>B11</f>
        <v>E</v>
      </c>
      <c r="Q49" s="65">
        <f>AVERAGE(sb1e1)</f>
        <v>19.0933125</v>
      </c>
      <c r="R49" s="65">
        <f>AVERAGE(sb2e1)</f>
        <v>15.846124999999999</v>
      </c>
    </row>
    <row r="50" spans="1:26" ht="13.8">
      <c r="A50" s="136">
        <v>36</v>
      </c>
      <c r="B50" s="136" t="str">
        <f t="shared" si="18"/>
        <v>A sup</v>
      </c>
      <c r="C50" s="136" t="str">
        <f t="shared" si="19"/>
        <v>B inf</v>
      </c>
      <c r="D50" s="136" t="str">
        <f t="shared" si="20"/>
        <v>C inf</v>
      </c>
      <c r="E50" s="136" t="str">
        <f t="shared" si="21"/>
        <v>D inf</v>
      </c>
      <c r="F50" s="136" t="str">
        <f>D$11</f>
        <v>E sup</v>
      </c>
      <c r="G50" s="136" t="str">
        <f>D$12</f>
        <v>F sup</v>
      </c>
      <c r="H50" s="4">
        <f t="shared" si="16"/>
        <v>11.711</v>
      </c>
      <c r="I50" s="9">
        <v>11.711</v>
      </c>
      <c r="J50" s="9"/>
      <c r="K50" s="9"/>
      <c r="L50" s="9"/>
      <c r="M50" s="9"/>
      <c r="N50" s="62"/>
      <c r="O50" s="57" t="str">
        <f>D11</f>
        <v>E sup</v>
      </c>
      <c r="P50" s="57" t="str">
        <f>B11</f>
        <v>E</v>
      </c>
      <c r="Q50" s="65">
        <f>AVERAGE(sb1e2)</f>
        <v>18.779187500000003</v>
      </c>
      <c r="R50" s="65">
        <f>AVERAGE(sb2e2)</f>
        <v>17.862375</v>
      </c>
    </row>
    <row r="51" spans="1:26" ht="13.8">
      <c r="A51" s="136">
        <v>37</v>
      </c>
      <c r="B51" s="136" t="str">
        <f t="shared" si="18"/>
        <v>A sup</v>
      </c>
      <c r="C51" s="136" t="str">
        <f t="shared" si="19"/>
        <v>B inf</v>
      </c>
      <c r="D51" s="136" t="str">
        <f t="shared" si="20"/>
        <v>C inf</v>
      </c>
      <c r="E51" s="136" t="str">
        <f>D$10</f>
        <v>D sup</v>
      </c>
      <c r="F51" s="136" t="str">
        <f>C$11</f>
        <v>E inf</v>
      </c>
      <c r="G51" s="136" t="str">
        <f>C$12</f>
        <v>F inf</v>
      </c>
      <c r="H51" s="4">
        <f t="shared" ref="H51:H60" si="22">MEDIAN(I51:M51)</f>
        <v>14.113</v>
      </c>
      <c r="I51" s="9">
        <v>14.113</v>
      </c>
      <c r="J51" s="9"/>
      <c r="K51" s="9"/>
      <c r="L51" s="9"/>
      <c r="M51" s="9"/>
      <c r="N51" s="62"/>
      <c r="O51" s="54" t="s">
        <v>55</v>
      </c>
      <c r="Q51" s="65"/>
      <c r="R51" s="65"/>
      <c r="X51" s="58"/>
      <c r="Y51" s="58"/>
      <c r="Z51" s="58"/>
    </row>
    <row r="52" spans="1:26" ht="13.8">
      <c r="A52" s="136">
        <v>38</v>
      </c>
      <c r="B52" s="136" t="str">
        <f t="shared" si="18"/>
        <v>A sup</v>
      </c>
      <c r="C52" s="136" t="str">
        <f t="shared" si="19"/>
        <v>B inf</v>
      </c>
      <c r="D52" s="136" t="str">
        <f t="shared" si="20"/>
        <v>C inf</v>
      </c>
      <c r="E52" s="136" t="str">
        <f t="shared" ref="E52:E54" si="23">D$10</f>
        <v>D sup</v>
      </c>
      <c r="F52" s="136" t="str">
        <f>C$11</f>
        <v>E inf</v>
      </c>
      <c r="G52" s="136" t="str">
        <f>D$12</f>
        <v>F sup</v>
      </c>
      <c r="H52" s="4">
        <f t="shared" si="22"/>
        <v>14.873999999999999</v>
      </c>
      <c r="I52" s="9">
        <v>14.873999999999999</v>
      </c>
      <c r="J52" s="9"/>
      <c r="K52" s="9"/>
      <c r="L52" s="9"/>
      <c r="M52" s="9"/>
      <c r="N52" s="62"/>
      <c r="O52" s="57" t="str">
        <f>C12</f>
        <v>F inf</v>
      </c>
      <c r="P52" s="57" t="str">
        <f>B12</f>
        <v>F</v>
      </c>
      <c r="Q52" s="65">
        <f>AVERAGE(sb1f1)</f>
        <v>18.275625000000002</v>
      </c>
      <c r="R52" s="65">
        <f>AVERAGE(sb2f1)</f>
        <v>17.217749999999999</v>
      </c>
    </row>
    <row r="53" spans="1:26" ht="13.8">
      <c r="A53" s="136">
        <v>39</v>
      </c>
      <c r="B53" s="136" t="str">
        <f t="shared" si="18"/>
        <v>A sup</v>
      </c>
      <c r="C53" s="136" t="str">
        <f t="shared" si="19"/>
        <v>B inf</v>
      </c>
      <c r="D53" s="136" t="str">
        <f t="shared" si="20"/>
        <v>C inf</v>
      </c>
      <c r="E53" s="136" t="str">
        <f t="shared" si="23"/>
        <v>D sup</v>
      </c>
      <c r="F53" s="136" t="str">
        <f>D$11</f>
        <v>E sup</v>
      </c>
      <c r="G53" s="136" t="str">
        <f>C$12</f>
        <v>F inf</v>
      </c>
      <c r="H53" s="4">
        <f t="shared" si="22"/>
        <v>18.117000000000001</v>
      </c>
      <c r="I53" s="9">
        <v>18.117000000000001</v>
      </c>
      <c r="J53" s="9"/>
      <c r="K53" s="9"/>
      <c r="L53" s="9"/>
      <c r="M53" s="9"/>
      <c r="N53" s="62"/>
      <c r="O53" s="57" t="str">
        <f>D12</f>
        <v>F sup</v>
      </c>
      <c r="P53" s="57" t="str">
        <f>B12</f>
        <v>F</v>
      </c>
      <c r="Q53" s="65">
        <f>AVERAGE(sb1f2)</f>
        <v>19.596875000000001</v>
      </c>
      <c r="R53" s="65">
        <f>AVERAGE(sb2f2)</f>
        <v>16.490749999999998</v>
      </c>
      <c r="S53" s="64"/>
    </row>
    <row r="54" spans="1:26" ht="13.8">
      <c r="A54" s="136">
        <v>40</v>
      </c>
      <c r="B54" s="136" t="str">
        <f t="shared" si="18"/>
        <v>A sup</v>
      </c>
      <c r="C54" s="136" t="str">
        <f t="shared" si="19"/>
        <v>B inf</v>
      </c>
      <c r="D54" s="136" t="str">
        <f t="shared" si="20"/>
        <v>C inf</v>
      </c>
      <c r="E54" s="136" t="str">
        <f t="shared" si="23"/>
        <v>D sup</v>
      </c>
      <c r="F54" s="136" t="str">
        <f>D$11</f>
        <v>E sup</v>
      </c>
      <c r="G54" s="136" t="str">
        <f>D$12</f>
        <v>F sup</v>
      </c>
      <c r="H54" s="4">
        <f t="shared" si="22"/>
        <v>16.077999999999999</v>
      </c>
      <c r="I54" s="9">
        <v>16.077999999999999</v>
      </c>
      <c r="J54" s="9"/>
      <c r="K54" s="9"/>
      <c r="L54" s="9"/>
      <c r="M54" s="9"/>
      <c r="N54" s="62"/>
    </row>
    <row r="55" spans="1:26" ht="13.8">
      <c r="A55" s="136">
        <v>41</v>
      </c>
      <c r="B55" s="136" t="str">
        <f t="shared" si="18"/>
        <v>A sup</v>
      </c>
      <c r="C55" s="136" t="str">
        <f t="shared" si="19"/>
        <v>B inf</v>
      </c>
      <c r="D55" s="136" t="str">
        <f>D$9</f>
        <v>C sup</v>
      </c>
      <c r="E55" s="136" t="str">
        <f>C$10</f>
        <v>D inf</v>
      </c>
      <c r="F55" s="136" t="str">
        <f>C$11</f>
        <v>E inf</v>
      </c>
      <c r="G55" s="136" t="str">
        <f>C$12</f>
        <v>F inf</v>
      </c>
      <c r="H55" s="4">
        <f t="shared" si="22"/>
        <v>15.471</v>
      </c>
      <c r="I55" s="9">
        <v>15.471</v>
      </c>
      <c r="J55" s="9"/>
      <c r="K55" s="9"/>
      <c r="L55" s="9"/>
      <c r="M55" s="9"/>
      <c r="N55" s="62"/>
      <c r="O55" s="57"/>
      <c r="P55" s="57"/>
      <c r="Q55" s="65"/>
      <c r="R55" s="65"/>
    </row>
    <row r="56" spans="1:26" ht="13.8">
      <c r="A56" s="136">
        <v>42</v>
      </c>
      <c r="B56" s="136" t="str">
        <f t="shared" si="18"/>
        <v>A sup</v>
      </c>
      <c r="C56" s="136" t="str">
        <f t="shared" si="19"/>
        <v>B inf</v>
      </c>
      <c r="D56" s="136" t="str">
        <f t="shared" ref="D56:D62" si="24">D$9</f>
        <v>C sup</v>
      </c>
      <c r="E56" s="136" t="str">
        <f t="shared" ref="E56:E58" si="25">C$10</f>
        <v>D inf</v>
      </c>
      <c r="F56" s="136" t="str">
        <f>C$11</f>
        <v>E inf</v>
      </c>
      <c r="G56" s="136" t="str">
        <f>D$12</f>
        <v>F sup</v>
      </c>
      <c r="H56" s="4">
        <f t="shared" si="22"/>
        <v>13.773999999999999</v>
      </c>
      <c r="I56" s="9">
        <v>13.773999999999999</v>
      </c>
      <c r="J56" s="9"/>
      <c r="K56" s="9"/>
      <c r="L56" s="9"/>
      <c r="M56" s="9"/>
      <c r="N56" s="62"/>
      <c r="O56" s="57"/>
      <c r="P56" s="57"/>
      <c r="Q56" s="65"/>
      <c r="R56" s="65"/>
    </row>
    <row r="57" spans="1:26" ht="13.8">
      <c r="A57" s="136">
        <v>43</v>
      </c>
      <c r="B57" s="136" t="str">
        <f t="shared" si="18"/>
        <v>A sup</v>
      </c>
      <c r="C57" s="136" t="str">
        <f t="shared" si="19"/>
        <v>B inf</v>
      </c>
      <c r="D57" s="136" t="str">
        <f t="shared" si="24"/>
        <v>C sup</v>
      </c>
      <c r="E57" s="136" t="str">
        <f t="shared" si="25"/>
        <v>D inf</v>
      </c>
      <c r="F57" s="136" t="str">
        <f>D$11</f>
        <v>E sup</v>
      </c>
      <c r="G57" s="136" t="str">
        <f>C$12</f>
        <v>F inf</v>
      </c>
      <c r="H57" s="4">
        <f t="shared" si="22"/>
        <v>4.8049999999999997</v>
      </c>
      <c r="I57" s="9">
        <v>4.8049999999999997</v>
      </c>
      <c r="J57" s="9"/>
      <c r="K57" s="9"/>
      <c r="L57" s="9"/>
      <c r="M57" s="9"/>
      <c r="N57" s="62"/>
      <c r="P57" s="58"/>
      <c r="Q57" s="57" t="str">
        <f>C9</f>
        <v>C inf</v>
      </c>
      <c r="R57" s="57" t="str">
        <f>D9</f>
        <v>C sup</v>
      </c>
      <c r="S57" s="64" t="s">
        <v>43</v>
      </c>
    </row>
    <row r="58" spans="1:26" ht="13.8">
      <c r="A58" s="136">
        <v>44</v>
      </c>
      <c r="B58" s="136" t="str">
        <f t="shared" si="18"/>
        <v>A sup</v>
      </c>
      <c r="C58" s="136" t="str">
        <f t="shared" si="19"/>
        <v>B inf</v>
      </c>
      <c r="D58" s="136" t="str">
        <f t="shared" si="24"/>
        <v>C sup</v>
      </c>
      <c r="E58" s="136" t="str">
        <f t="shared" si="25"/>
        <v>D inf</v>
      </c>
      <c r="F58" s="136" t="str">
        <f>D$11</f>
        <v>E sup</v>
      </c>
      <c r="G58" s="136" t="str">
        <f>D$12</f>
        <v>F sup</v>
      </c>
      <c r="H58" s="4">
        <f t="shared" si="22"/>
        <v>10.841000000000001</v>
      </c>
      <c r="I58" s="9">
        <v>10.841000000000001</v>
      </c>
      <c r="J58" s="9"/>
      <c r="K58" s="9"/>
      <c r="L58" s="9"/>
      <c r="M58" s="9"/>
      <c r="N58" s="62"/>
      <c r="Q58" s="57" t="str">
        <f>B9</f>
        <v>C</v>
      </c>
      <c r="R58" s="57" t="str">
        <f>B9</f>
        <v>C</v>
      </c>
    </row>
    <row r="59" spans="1:26" ht="13.8">
      <c r="A59" s="136">
        <v>45</v>
      </c>
      <c r="B59" s="136" t="str">
        <f t="shared" si="18"/>
        <v>A sup</v>
      </c>
      <c r="C59" s="136" t="str">
        <f t="shared" si="19"/>
        <v>B inf</v>
      </c>
      <c r="D59" s="136" t="str">
        <f t="shared" si="24"/>
        <v>C sup</v>
      </c>
      <c r="E59" s="136" t="str">
        <f>D$10</f>
        <v>D sup</v>
      </c>
      <c r="F59" s="136" t="str">
        <f>C$11</f>
        <v>E inf</v>
      </c>
      <c r="G59" s="136" t="str">
        <f>C$12</f>
        <v>F inf</v>
      </c>
      <c r="H59" s="4">
        <f t="shared" si="22"/>
        <v>17.444000000000003</v>
      </c>
      <c r="I59" s="9">
        <v>17.444000000000003</v>
      </c>
      <c r="J59" s="9"/>
      <c r="K59" s="9"/>
      <c r="L59" s="9"/>
      <c r="M59" s="9"/>
      <c r="N59" s="62"/>
      <c r="O59" s="57" t="str">
        <f>C10</f>
        <v>D inf</v>
      </c>
      <c r="P59" s="57" t="str">
        <f>B10</f>
        <v>D</v>
      </c>
      <c r="Q59" s="65">
        <f>AVERAGE(SC1D1)</f>
        <v>18.827624999999998</v>
      </c>
      <c r="R59" s="65">
        <f>AVERAGE(SC2D1)</f>
        <v>16.618937500000005</v>
      </c>
    </row>
    <row r="60" spans="1:26" ht="13.8">
      <c r="A60" s="136">
        <v>46</v>
      </c>
      <c r="B60" s="136" t="str">
        <f t="shared" si="18"/>
        <v>A sup</v>
      </c>
      <c r="C60" s="136" t="str">
        <f t="shared" si="19"/>
        <v>B inf</v>
      </c>
      <c r="D60" s="136" t="str">
        <f t="shared" si="24"/>
        <v>C sup</v>
      </c>
      <c r="E60" s="136" t="str">
        <f t="shared" ref="E60:E62" si="26">D$10</f>
        <v>D sup</v>
      </c>
      <c r="F60" s="136" t="str">
        <f>C$11</f>
        <v>E inf</v>
      </c>
      <c r="G60" s="136" t="str">
        <f>D$12</f>
        <v>F sup</v>
      </c>
      <c r="H60" s="4">
        <f t="shared" si="22"/>
        <v>4.343</v>
      </c>
      <c r="I60" s="9">
        <v>4.343</v>
      </c>
      <c r="J60" s="9"/>
      <c r="K60" s="9"/>
      <c r="L60" s="9"/>
      <c r="M60" s="9"/>
      <c r="N60" s="62"/>
      <c r="O60" s="57" t="str">
        <f>D10</f>
        <v>D sup</v>
      </c>
      <c r="P60" s="57" t="str">
        <f>B10</f>
        <v>D</v>
      </c>
      <c r="Q60" s="65">
        <f>AVERAGE(SC1D2)</f>
        <v>20.636749999999999</v>
      </c>
      <c r="R60" s="65">
        <f>AVERAGE(SC2D2)</f>
        <v>15.4976875</v>
      </c>
    </row>
    <row r="61" spans="1:26" ht="13.8">
      <c r="A61" s="136">
        <v>47</v>
      </c>
      <c r="B61" s="136" t="str">
        <f t="shared" si="18"/>
        <v>A sup</v>
      </c>
      <c r="C61" s="136" t="str">
        <f t="shared" si="19"/>
        <v>B inf</v>
      </c>
      <c r="D61" s="136" t="str">
        <f t="shared" si="24"/>
        <v>C sup</v>
      </c>
      <c r="E61" s="136" t="str">
        <f t="shared" si="26"/>
        <v>D sup</v>
      </c>
      <c r="F61" s="136" t="str">
        <f>D$11</f>
        <v>E sup</v>
      </c>
      <c r="G61" s="136" t="str">
        <f>C$12</f>
        <v>F inf</v>
      </c>
      <c r="H61" s="4">
        <f>MEDIAN(I61:M61)</f>
        <v>4.5640000000000001</v>
      </c>
      <c r="I61" s="9">
        <v>4.5640000000000001</v>
      </c>
      <c r="J61" s="9"/>
      <c r="K61" s="9"/>
      <c r="L61" s="9"/>
      <c r="M61" s="9"/>
      <c r="N61" s="62"/>
      <c r="O61" s="57" t="s">
        <v>55</v>
      </c>
      <c r="P61" s="57"/>
      <c r="Q61" s="65"/>
      <c r="R61" s="65"/>
    </row>
    <row r="62" spans="1:26" ht="13.8">
      <c r="A62" s="136">
        <v>48</v>
      </c>
      <c r="B62" s="136" t="str">
        <f t="shared" si="18"/>
        <v>A sup</v>
      </c>
      <c r="C62" s="136" t="str">
        <f t="shared" si="19"/>
        <v>B inf</v>
      </c>
      <c r="D62" s="136" t="str">
        <f t="shared" si="24"/>
        <v>C sup</v>
      </c>
      <c r="E62" s="136" t="str">
        <f t="shared" si="26"/>
        <v>D sup</v>
      </c>
      <c r="F62" s="136" t="str">
        <f>D$11</f>
        <v>E sup</v>
      </c>
      <c r="G62" s="136" t="str">
        <f>D$12</f>
        <v>F sup</v>
      </c>
      <c r="H62" s="4">
        <f>MEDIAN(I62:M62)</f>
        <v>20.167999999999999</v>
      </c>
      <c r="I62" s="9">
        <v>20.167999999999999</v>
      </c>
      <c r="J62" s="9"/>
      <c r="K62" s="9"/>
      <c r="L62" s="9"/>
      <c r="M62" s="9"/>
      <c r="N62" s="62"/>
      <c r="O62" s="57" t="str">
        <f>C11</f>
        <v>E inf</v>
      </c>
      <c r="P62" s="57" t="str">
        <f>B11</f>
        <v>E</v>
      </c>
      <c r="Q62" s="65">
        <f>AVERAGE(SC1E1)</f>
        <v>19.628</v>
      </c>
      <c r="R62" s="65">
        <f>AVERAGE(SC2E1)</f>
        <v>15.3114375</v>
      </c>
    </row>
    <row r="63" spans="1:26" ht="13.8">
      <c r="A63" s="136">
        <v>49</v>
      </c>
      <c r="B63" s="136" t="str">
        <f t="shared" si="18"/>
        <v>A sup</v>
      </c>
      <c r="C63" s="136" t="str">
        <f>D$8</f>
        <v>B sup</v>
      </c>
      <c r="D63" s="136" t="str">
        <f>C$9</f>
        <v>C inf</v>
      </c>
      <c r="E63" s="136" t="str">
        <f>C$10</f>
        <v>D inf</v>
      </c>
      <c r="F63" s="136" t="str">
        <f>C$11</f>
        <v>E inf</v>
      </c>
      <c r="G63" s="136" t="str">
        <f>C$12</f>
        <v>F inf</v>
      </c>
      <c r="H63" s="4">
        <f t="shared" ref="H63:H73" si="27">MEDIAN(I63:M63)</f>
        <v>5.5750000000000002</v>
      </c>
      <c r="I63" s="9">
        <v>5.5750000000000002</v>
      </c>
      <c r="J63" s="9"/>
      <c r="K63" s="9"/>
      <c r="L63" s="9"/>
      <c r="M63" s="9"/>
      <c r="N63" s="62"/>
      <c r="O63" s="57" t="str">
        <f>D11</f>
        <v>E sup</v>
      </c>
      <c r="P63" s="57" t="str">
        <f>B11</f>
        <v>E</v>
      </c>
      <c r="Q63" s="65">
        <f>AVERAGE(SC1E2)</f>
        <v>19.836375</v>
      </c>
      <c r="R63" s="65">
        <f>AVERAGE(SC2E2)</f>
        <v>16.805187500000002</v>
      </c>
    </row>
    <row r="64" spans="1:26" ht="13.8">
      <c r="A64" s="136">
        <v>50</v>
      </c>
      <c r="B64" s="136" t="str">
        <f t="shared" si="18"/>
        <v>A sup</v>
      </c>
      <c r="C64" s="136" t="str">
        <f t="shared" ref="C64:C78" si="28">D$8</f>
        <v>B sup</v>
      </c>
      <c r="D64" s="136" t="str">
        <f t="shared" ref="D64:D70" si="29">C$9</f>
        <v>C inf</v>
      </c>
      <c r="E64" s="136" t="str">
        <f t="shared" ref="E64:E66" si="30">C$10</f>
        <v>D inf</v>
      </c>
      <c r="F64" s="136" t="str">
        <f>C$11</f>
        <v>E inf</v>
      </c>
      <c r="G64" s="136" t="str">
        <f>D$12</f>
        <v>F sup</v>
      </c>
      <c r="H64" s="4">
        <f t="shared" si="27"/>
        <v>9.9209999999999994</v>
      </c>
      <c r="I64" s="9">
        <v>9.9209999999999994</v>
      </c>
      <c r="J64" s="9"/>
      <c r="K64" s="9"/>
      <c r="L64" s="9"/>
      <c r="M64" s="9"/>
      <c r="N64" s="62"/>
      <c r="O64" s="54" t="s">
        <v>55</v>
      </c>
      <c r="Q64" s="65"/>
      <c r="R64" s="65"/>
    </row>
    <row r="65" spans="1:26" ht="13.8">
      <c r="A65" s="136">
        <v>51</v>
      </c>
      <c r="B65" s="136" t="str">
        <f t="shared" si="18"/>
        <v>A sup</v>
      </c>
      <c r="C65" s="136" t="str">
        <f t="shared" si="28"/>
        <v>B sup</v>
      </c>
      <c r="D65" s="136" t="str">
        <f t="shared" si="29"/>
        <v>C inf</v>
      </c>
      <c r="E65" s="136" t="str">
        <f t="shared" si="30"/>
        <v>D inf</v>
      </c>
      <c r="F65" s="136" t="str">
        <f>D$11</f>
        <v>E sup</v>
      </c>
      <c r="G65" s="136" t="str">
        <f>C$12</f>
        <v>F inf</v>
      </c>
      <c r="H65" s="4">
        <f t="shared" si="27"/>
        <v>15.441000000000001</v>
      </c>
      <c r="I65" s="9">
        <v>15.441000000000001</v>
      </c>
      <c r="J65" s="9"/>
      <c r="K65" s="9"/>
      <c r="L65" s="9"/>
      <c r="M65" s="9"/>
      <c r="N65" s="62"/>
      <c r="O65" s="57" t="str">
        <f>C12</f>
        <v>F inf</v>
      </c>
      <c r="P65" s="57" t="str">
        <f>B12</f>
        <v>F</v>
      </c>
      <c r="Q65" s="65">
        <f>AVERAGE(SC1F1)</f>
        <v>19.243937499999998</v>
      </c>
      <c r="R65" s="65">
        <f>AVERAGE(SC2F1)</f>
        <v>16.249437499999999</v>
      </c>
      <c r="S65" s="64"/>
    </row>
    <row r="66" spans="1:26" ht="13.8">
      <c r="A66" s="136">
        <v>52</v>
      </c>
      <c r="B66" s="136" t="str">
        <f t="shared" si="18"/>
        <v>A sup</v>
      </c>
      <c r="C66" s="136" t="str">
        <f t="shared" si="28"/>
        <v>B sup</v>
      </c>
      <c r="D66" s="136" t="str">
        <f t="shared" si="29"/>
        <v>C inf</v>
      </c>
      <c r="E66" s="136" t="str">
        <f t="shared" si="30"/>
        <v>D inf</v>
      </c>
      <c r="F66" s="136" t="str">
        <f>D$11</f>
        <v>E sup</v>
      </c>
      <c r="G66" s="136" t="str">
        <f>D$12</f>
        <v>F sup</v>
      </c>
      <c r="H66" s="4">
        <f t="shared" si="27"/>
        <v>13.593</v>
      </c>
      <c r="I66" s="9">
        <v>13.593</v>
      </c>
      <c r="J66" s="9"/>
      <c r="K66" s="9"/>
      <c r="L66" s="9"/>
      <c r="M66" s="9"/>
      <c r="N66" s="62"/>
      <c r="O66" s="57" t="str">
        <f>D12</f>
        <v>F sup</v>
      </c>
      <c r="P66" s="58" t="str">
        <f>B12</f>
        <v>F</v>
      </c>
      <c r="Q66" s="65">
        <f>AVERAGE(SC1F2)</f>
        <v>20.220437499999999</v>
      </c>
      <c r="R66" s="65">
        <f>AVERAGE(SC2F2)</f>
        <v>15.8671875</v>
      </c>
      <c r="S66" s="58"/>
      <c r="T66" s="58"/>
      <c r="V66" s="58"/>
      <c r="W66" s="58"/>
      <c r="X66" s="58"/>
      <c r="Y66" s="58"/>
      <c r="Z66" s="58"/>
    </row>
    <row r="67" spans="1:26" ht="13.8">
      <c r="A67" s="136">
        <v>53</v>
      </c>
      <c r="B67" s="136" t="str">
        <f t="shared" si="18"/>
        <v>A sup</v>
      </c>
      <c r="C67" s="136" t="str">
        <f t="shared" si="28"/>
        <v>B sup</v>
      </c>
      <c r="D67" s="136" t="str">
        <f t="shared" si="29"/>
        <v>C inf</v>
      </c>
      <c r="E67" s="136" t="str">
        <f>D$10</f>
        <v>D sup</v>
      </c>
      <c r="F67" s="136" t="str">
        <f>C$11</f>
        <v>E inf</v>
      </c>
      <c r="G67" s="136" t="str">
        <f>C$12</f>
        <v>F inf</v>
      </c>
      <c r="H67" s="4">
        <f t="shared" si="27"/>
        <v>12.606</v>
      </c>
      <c r="I67" s="9">
        <v>12.606</v>
      </c>
      <c r="J67" s="9"/>
      <c r="K67" s="9"/>
      <c r="L67" s="9"/>
      <c r="M67" s="9"/>
      <c r="N67" s="62"/>
      <c r="O67" s="57"/>
      <c r="P67" s="57"/>
      <c r="Q67" s="65"/>
      <c r="R67" s="65"/>
      <c r="X67" s="58"/>
      <c r="Y67" s="58"/>
      <c r="Z67" s="58"/>
    </row>
    <row r="68" spans="1:26" ht="13.8">
      <c r="A68" s="136">
        <v>54</v>
      </c>
      <c r="B68" s="136" t="str">
        <f t="shared" si="18"/>
        <v>A sup</v>
      </c>
      <c r="C68" s="136" t="str">
        <f t="shared" si="28"/>
        <v>B sup</v>
      </c>
      <c r="D68" s="136" t="str">
        <f t="shared" si="29"/>
        <v>C inf</v>
      </c>
      <c r="E68" s="136" t="str">
        <f t="shared" ref="E68:E70" si="31">D$10</f>
        <v>D sup</v>
      </c>
      <c r="F68" s="136" t="str">
        <f>C$11</f>
        <v>E inf</v>
      </c>
      <c r="G68" s="136" t="str">
        <f>D$12</f>
        <v>F sup</v>
      </c>
      <c r="H68" s="4">
        <f t="shared" si="27"/>
        <v>14.596</v>
      </c>
      <c r="I68" s="9">
        <v>14.596</v>
      </c>
      <c r="J68" s="9"/>
      <c r="K68" s="9"/>
      <c r="L68" s="9"/>
      <c r="M68" s="9"/>
      <c r="N68" s="62"/>
      <c r="O68" s="57"/>
      <c r="P68" s="57"/>
      <c r="Q68" s="65"/>
      <c r="R68" s="65"/>
    </row>
    <row r="69" spans="1:26" ht="13.8">
      <c r="A69" s="136">
        <v>55</v>
      </c>
      <c r="B69" s="136" t="str">
        <f t="shared" si="18"/>
        <v>A sup</v>
      </c>
      <c r="C69" s="136" t="str">
        <f t="shared" si="28"/>
        <v>B sup</v>
      </c>
      <c r="D69" s="136" t="str">
        <f t="shared" si="29"/>
        <v>C inf</v>
      </c>
      <c r="E69" s="136" t="str">
        <f t="shared" si="31"/>
        <v>D sup</v>
      </c>
      <c r="F69" s="136" t="str">
        <f>D$11</f>
        <v>E sup</v>
      </c>
      <c r="G69" s="136" t="str">
        <f>C$12</f>
        <v>F inf</v>
      </c>
      <c r="H69" s="4">
        <f t="shared" si="27"/>
        <v>12.885999999999999</v>
      </c>
      <c r="I69" s="9">
        <v>12.885999999999999</v>
      </c>
      <c r="J69" s="9"/>
      <c r="K69" s="9"/>
      <c r="L69" s="9"/>
      <c r="M69" s="9"/>
      <c r="N69" s="62"/>
      <c r="O69" s="57"/>
      <c r="P69" s="57"/>
      <c r="Q69" s="65"/>
      <c r="R69" s="65"/>
    </row>
    <row r="70" spans="1:26" ht="14.4" thickBot="1">
      <c r="A70" s="136">
        <v>56</v>
      </c>
      <c r="B70" s="136" t="str">
        <f t="shared" si="18"/>
        <v>A sup</v>
      </c>
      <c r="C70" s="136" t="str">
        <f t="shared" si="28"/>
        <v>B sup</v>
      </c>
      <c r="D70" s="136" t="str">
        <f t="shared" si="29"/>
        <v>C inf</v>
      </c>
      <c r="E70" s="136" t="str">
        <f t="shared" si="31"/>
        <v>D sup</v>
      </c>
      <c r="F70" s="136" t="str">
        <f>D$11</f>
        <v>E sup</v>
      </c>
      <c r="G70" s="136" t="str">
        <f>D$12</f>
        <v>F sup</v>
      </c>
      <c r="H70" s="4">
        <f t="shared" si="27"/>
        <v>12.872</v>
      </c>
      <c r="I70" s="9">
        <v>12.872</v>
      </c>
      <c r="J70" s="9"/>
      <c r="K70" s="9"/>
      <c r="L70" s="9"/>
      <c r="M70" s="9"/>
      <c r="N70" s="62"/>
      <c r="O70" s="57"/>
      <c r="P70" s="57"/>
      <c r="Q70" s="65"/>
      <c r="R70" s="65"/>
    </row>
    <row r="71" spans="1:26" ht="13.8">
      <c r="A71" s="136">
        <v>57</v>
      </c>
      <c r="B71" s="136" t="str">
        <f t="shared" si="18"/>
        <v>A sup</v>
      </c>
      <c r="C71" s="136" t="str">
        <f t="shared" si="28"/>
        <v>B sup</v>
      </c>
      <c r="D71" s="136" t="str">
        <f>D$9</f>
        <v>C sup</v>
      </c>
      <c r="E71" s="136" t="str">
        <f>C$10</f>
        <v>D inf</v>
      </c>
      <c r="F71" s="136" t="str">
        <f>C$11</f>
        <v>E inf</v>
      </c>
      <c r="G71" s="136" t="str">
        <f>C$12</f>
        <v>F inf</v>
      </c>
      <c r="H71" s="4">
        <f t="shared" si="27"/>
        <v>9.8640000000000008</v>
      </c>
      <c r="I71" s="9">
        <v>9.8640000000000008</v>
      </c>
      <c r="J71" s="9"/>
      <c r="K71" s="9"/>
      <c r="L71" s="9"/>
      <c r="M71" s="9"/>
      <c r="N71" s="62"/>
      <c r="O71" s="192"/>
      <c r="P71" s="57"/>
      <c r="Q71" s="65"/>
      <c r="R71" s="65"/>
    </row>
    <row r="72" spans="1:26" ht="13.8">
      <c r="A72" s="136">
        <v>58</v>
      </c>
      <c r="B72" s="136" t="str">
        <f t="shared" si="18"/>
        <v>A sup</v>
      </c>
      <c r="C72" s="136" t="str">
        <f t="shared" si="28"/>
        <v>B sup</v>
      </c>
      <c r="D72" s="136" t="str">
        <f t="shared" ref="D72:D78" si="32">D$9</f>
        <v>C sup</v>
      </c>
      <c r="E72" s="136" t="str">
        <f t="shared" ref="E72:E74" si="33">C$10</f>
        <v>D inf</v>
      </c>
      <c r="F72" s="136" t="str">
        <f>C$11</f>
        <v>E inf</v>
      </c>
      <c r="G72" s="136" t="str">
        <f>D$12</f>
        <v>F sup</v>
      </c>
      <c r="H72" s="4">
        <f t="shared" si="27"/>
        <v>5.8230000000000004</v>
      </c>
      <c r="I72" s="9">
        <v>5.8230000000000004</v>
      </c>
      <c r="J72" s="9"/>
      <c r="K72" s="9"/>
      <c r="L72" s="9"/>
      <c r="M72" s="9"/>
      <c r="N72" s="62"/>
      <c r="O72" s="193"/>
      <c r="P72" s="57"/>
      <c r="Q72" s="65"/>
      <c r="R72" s="65"/>
    </row>
    <row r="73" spans="1:26" ht="13.8">
      <c r="A73" s="136">
        <v>59</v>
      </c>
      <c r="B73" s="136" t="str">
        <f t="shared" si="18"/>
        <v>A sup</v>
      </c>
      <c r="C73" s="136" t="str">
        <f t="shared" si="28"/>
        <v>B sup</v>
      </c>
      <c r="D73" s="136" t="str">
        <f t="shared" si="32"/>
        <v>C sup</v>
      </c>
      <c r="E73" s="136" t="str">
        <f t="shared" si="33"/>
        <v>D inf</v>
      </c>
      <c r="F73" s="136" t="str">
        <f>D$11</f>
        <v>E sup</v>
      </c>
      <c r="G73" s="136" t="str">
        <f>C$12</f>
        <v>F inf</v>
      </c>
      <c r="H73" s="4">
        <f t="shared" si="27"/>
        <v>15.058999999999999</v>
      </c>
      <c r="I73" s="9">
        <v>15.058999999999999</v>
      </c>
      <c r="J73" s="9"/>
      <c r="K73" s="9"/>
      <c r="L73" s="9"/>
      <c r="M73" s="9"/>
      <c r="N73" s="62"/>
      <c r="O73" s="187"/>
    </row>
    <row r="74" spans="1:26" ht="13.8">
      <c r="A74" s="136">
        <v>60</v>
      </c>
      <c r="B74" s="136" t="str">
        <f t="shared" si="18"/>
        <v>A sup</v>
      </c>
      <c r="C74" s="136" t="str">
        <f t="shared" si="28"/>
        <v>B sup</v>
      </c>
      <c r="D74" s="136" t="str">
        <f t="shared" si="32"/>
        <v>C sup</v>
      </c>
      <c r="E74" s="136" t="str">
        <f t="shared" si="33"/>
        <v>D inf</v>
      </c>
      <c r="F74" s="136" t="str">
        <f>D$11</f>
        <v>E sup</v>
      </c>
      <c r="G74" s="136" t="str">
        <f>D$12</f>
        <v>F sup</v>
      </c>
      <c r="H74" s="4">
        <f>MEDIAN(I74:M74)</f>
        <v>6.1520000000000001</v>
      </c>
      <c r="I74" s="9">
        <v>6.1520000000000001</v>
      </c>
      <c r="J74" s="9"/>
      <c r="K74" s="9"/>
      <c r="L74" s="9"/>
      <c r="M74" s="9"/>
      <c r="N74" s="62"/>
      <c r="O74" s="187"/>
    </row>
    <row r="75" spans="1:26" ht="13.8">
      <c r="A75" s="136">
        <v>61</v>
      </c>
      <c r="B75" s="136" t="str">
        <f t="shared" si="18"/>
        <v>A sup</v>
      </c>
      <c r="C75" s="136" t="str">
        <f t="shared" si="28"/>
        <v>B sup</v>
      </c>
      <c r="D75" s="136" t="str">
        <f t="shared" si="32"/>
        <v>C sup</v>
      </c>
      <c r="E75" s="136" t="str">
        <f>D$10</f>
        <v>D sup</v>
      </c>
      <c r="F75" s="136" t="str">
        <f>C$11</f>
        <v>E inf</v>
      </c>
      <c r="G75" s="136" t="str">
        <f>C$12</f>
        <v>F inf</v>
      </c>
      <c r="H75" s="4">
        <f>MEDIAN(I75:M75)</f>
        <v>10.911</v>
      </c>
      <c r="I75" s="9">
        <v>10.911</v>
      </c>
      <c r="J75" s="9"/>
      <c r="K75" s="9"/>
      <c r="L75" s="9"/>
      <c r="M75" s="9"/>
      <c r="N75" s="62"/>
      <c r="Q75" s="57" t="str">
        <f>B10</f>
        <v>D</v>
      </c>
      <c r="R75" s="57" t="str">
        <f>B10</f>
        <v>D</v>
      </c>
    </row>
    <row r="76" spans="1:26" ht="13.8">
      <c r="A76" s="136">
        <v>62</v>
      </c>
      <c r="B76" s="136" t="str">
        <f t="shared" si="18"/>
        <v>A sup</v>
      </c>
      <c r="C76" s="136" t="str">
        <f t="shared" si="28"/>
        <v>B sup</v>
      </c>
      <c r="D76" s="136" t="str">
        <f t="shared" si="32"/>
        <v>C sup</v>
      </c>
      <c r="E76" s="136" t="str">
        <f t="shared" ref="E76:E78" si="34">D$10</f>
        <v>D sup</v>
      </c>
      <c r="F76" s="136" t="str">
        <f>C$11</f>
        <v>E inf</v>
      </c>
      <c r="G76" s="136" t="str">
        <f>D$12</f>
        <v>F sup</v>
      </c>
      <c r="H76" s="4">
        <f>MEDIAN(I76:M76)</f>
        <v>12.737</v>
      </c>
      <c r="I76" s="9">
        <v>12.737</v>
      </c>
      <c r="J76" s="9"/>
      <c r="K76" s="9"/>
      <c r="L76" s="9"/>
      <c r="M76" s="9"/>
      <c r="N76" s="62"/>
      <c r="Q76" s="57" t="str">
        <f>C10</f>
        <v>D inf</v>
      </c>
      <c r="R76" s="57" t="str">
        <f>D10</f>
        <v>D sup</v>
      </c>
      <c r="S76" s="64" t="s">
        <v>44</v>
      </c>
    </row>
    <row r="77" spans="1:26" ht="13.8">
      <c r="A77" s="136">
        <v>63</v>
      </c>
      <c r="B77" s="136" t="str">
        <f t="shared" si="18"/>
        <v>A sup</v>
      </c>
      <c r="C77" s="136" t="str">
        <f t="shared" si="28"/>
        <v>B sup</v>
      </c>
      <c r="D77" s="136" t="str">
        <f t="shared" si="32"/>
        <v>C sup</v>
      </c>
      <c r="E77" s="136" t="str">
        <f t="shared" si="34"/>
        <v>D sup</v>
      </c>
      <c r="F77" s="136" t="str">
        <f>D$11</f>
        <v>E sup</v>
      </c>
      <c r="G77" s="136" t="str">
        <f>C$12</f>
        <v>F inf</v>
      </c>
      <c r="H77" s="4">
        <f>MEDIAN(I77:M77)</f>
        <v>5.8849999999999998</v>
      </c>
      <c r="I77" s="9">
        <v>5.8849999999999998</v>
      </c>
      <c r="J77" s="9"/>
      <c r="K77" s="9"/>
      <c r="L77" s="9"/>
      <c r="M77" s="9"/>
      <c r="N77" s="62"/>
      <c r="O77" s="57" t="str">
        <f>C11</f>
        <v>E inf</v>
      </c>
      <c r="P77" s="57" t="str">
        <f>B11</f>
        <v>E</v>
      </c>
      <c r="Q77" s="65">
        <f>AVERAGE(SD1E1)</f>
        <v>17.421937499999999</v>
      </c>
      <c r="R77" s="65">
        <f>AVERAGE(SD2E1)</f>
        <v>17.517499999999998</v>
      </c>
    </row>
    <row r="78" spans="1:26" ht="13.8">
      <c r="A78" s="136">
        <v>64</v>
      </c>
      <c r="B78" s="136" t="str">
        <f t="shared" si="18"/>
        <v>A sup</v>
      </c>
      <c r="C78" s="136" t="str">
        <f t="shared" si="28"/>
        <v>B sup</v>
      </c>
      <c r="D78" s="136" t="str">
        <f t="shared" si="32"/>
        <v>C sup</v>
      </c>
      <c r="E78" s="136" t="str">
        <f t="shared" si="34"/>
        <v>D sup</v>
      </c>
      <c r="F78" s="136" t="str">
        <f>D$11</f>
        <v>E sup</v>
      </c>
      <c r="G78" s="136" t="str">
        <f>D$12</f>
        <v>F sup</v>
      </c>
      <c r="H78" s="4">
        <f>MEDIAN(I78:M78)</f>
        <v>11.24</v>
      </c>
      <c r="I78" s="9">
        <v>11.24</v>
      </c>
      <c r="J78" s="9"/>
      <c r="K78" s="9"/>
      <c r="L78" s="9"/>
      <c r="M78" s="9"/>
      <c r="N78" s="62"/>
      <c r="O78" s="57" t="str">
        <f>D11</f>
        <v>E sup</v>
      </c>
      <c r="P78" s="57" t="str">
        <f>B11</f>
        <v>E</v>
      </c>
      <c r="Q78" s="65">
        <f>AVERAGE(SD1E2)</f>
        <v>18.024625000000004</v>
      </c>
      <c r="R78" s="65">
        <f>AVERAGE(sd2e2)</f>
        <v>18.616937499999999</v>
      </c>
    </row>
    <row r="79" spans="1:26"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194" t="s">
        <v>55</v>
      </c>
      <c r="P79" s="194"/>
    </row>
    <row r="80" spans="1:26" ht="13.8">
      <c r="A80" s="204" t="s">
        <v>23</v>
      </c>
      <c r="B80" s="205" t="s">
        <v>24</v>
      </c>
      <c r="C80" s="205" t="s">
        <v>25</v>
      </c>
      <c r="D80" s="205" t="s">
        <v>26</v>
      </c>
      <c r="E80" s="205" t="s">
        <v>31</v>
      </c>
      <c r="F80" s="205" t="s">
        <v>35</v>
      </c>
      <c r="G80" s="205" t="s">
        <v>39</v>
      </c>
      <c r="H80" s="205" t="s">
        <v>45</v>
      </c>
      <c r="I80" s="67"/>
      <c r="J80" s="251" t="s">
        <v>218</v>
      </c>
      <c r="K80" s="252"/>
      <c r="L80" s="253"/>
      <c r="M80" s="67"/>
      <c r="N80" s="67"/>
      <c r="O80" s="57" t="str">
        <f>C12</f>
        <v>F inf</v>
      </c>
      <c r="P80" s="57" t="str">
        <f>B12</f>
        <v>F</v>
      </c>
      <c r="Q80" s="65">
        <f>AVERAGE(sd1f1)</f>
        <v>18.113812500000002</v>
      </c>
      <c r="R80" s="65">
        <f>AVERAGE(sd2f1)</f>
        <v>17.379562499999999</v>
      </c>
    </row>
    <row r="81" spans="1:18" ht="13.8">
      <c r="A81" s="204" t="s">
        <v>27</v>
      </c>
      <c r="B81" s="206">
        <f>AVERAGE(H15:H78)</f>
        <v>17.895250000000004</v>
      </c>
      <c r="C81" s="206">
        <f>AVERAGE(_sa1)-$B81</f>
        <v>5.7481249999999946</v>
      </c>
      <c r="D81" s="206">
        <f>AVERAGE(_sb1)-$B81</f>
        <v>1.0409999999999933</v>
      </c>
      <c r="E81" s="206">
        <f>AVERAGE(_sc1)-$B81</f>
        <v>1.8369374999999977</v>
      </c>
      <c r="F81" s="206">
        <f>AVERAGE(_sd1)-$B81</f>
        <v>-0.17196875000000489</v>
      </c>
      <c r="G81" s="206">
        <f>AVERAGE(_se1)-$B81</f>
        <v>-0.42553125000000591</v>
      </c>
      <c r="H81" s="206">
        <f>AVERAGE(_sf1)-$B81</f>
        <v>-0.14856250000000415</v>
      </c>
      <c r="I81" s="68"/>
      <c r="J81" s="254" t="s">
        <v>219</v>
      </c>
      <c r="K81" s="255"/>
      <c r="L81" s="256"/>
      <c r="M81" s="68"/>
      <c r="N81" s="68"/>
      <c r="O81" s="57" t="str">
        <f>D12</f>
        <v>F sup</v>
      </c>
      <c r="P81" s="57" t="str">
        <f>B12</f>
        <v>F</v>
      </c>
      <c r="Q81" s="65">
        <f>AVERAGE(sd1f2)</f>
        <v>17.332750000000001</v>
      </c>
      <c r="R81" s="65">
        <f>AVERAGE(sd2f2)</f>
        <v>18.754875000000002</v>
      </c>
    </row>
    <row r="82" spans="1:18" ht="13.8">
      <c r="A82" s="204" t="s">
        <v>28</v>
      </c>
      <c r="B82" s="206">
        <f>AVERAGE(H15:H78)</f>
        <v>17.895250000000004</v>
      </c>
      <c r="C82" s="206">
        <f>AVERAGE(_sa2)-$B82</f>
        <v>-5.7481250000000035</v>
      </c>
      <c r="D82" s="206">
        <f>AVERAGE(_sb2)-$B82</f>
        <v>-1.0410000000000039</v>
      </c>
      <c r="E82" s="206">
        <f>AVERAGE(_sc2)-$B82</f>
        <v>-1.8369375000000048</v>
      </c>
      <c r="F82" s="206">
        <f>AVERAGE(_sd2)-$B82</f>
        <v>0.17196874999999423</v>
      </c>
      <c r="G82" s="206">
        <f>AVERAGE(_se2)-$B82</f>
        <v>0.42553124999999525</v>
      </c>
      <c r="H82" s="206">
        <f>AVERAGE(_sf2)-$B82</f>
        <v>0.14856249999999349</v>
      </c>
      <c r="I82" s="68"/>
      <c r="J82" s="68"/>
      <c r="K82" s="68"/>
      <c r="L82" s="68"/>
      <c r="M82" s="68"/>
      <c r="N82" s="68"/>
    </row>
    <row r="83" spans="1:18"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</row>
    <row r="84" spans="1:18" ht="13.8">
      <c r="A84" s="69" t="s">
        <v>154</v>
      </c>
      <c r="B84" s="195"/>
      <c r="C84" s="196"/>
      <c r="D84" s="197"/>
      <c r="E84" s="56"/>
      <c r="F84" s="66"/>
      <c r="G84" s="66"/>
      <c r="H84" s="56"/>
      <c r="I84" s="66"/>
      <c r="J84" s="66"/>
      <c r="K84" s="56"/>
      <c r="L84" s="66"/>
      <c r="M84" s="66"/>
      <c r="N84" s="66"/>
    </row>
    <row r="85" spans="1:18" ht="13.8">
      <c r="A85" s="82"/>
      <c r="B85" s="162" t="s">
        <v>224</v>
      </c>
      <c r="C85" s="162" t="s">
        <v>181</v>
      </c>
      <c r="D85" s="162" t="s">
        <v>182</v>
      </c>
      <c r="E85" s="162" t="s">
        <v>190</v>
      </c>
      <c r="F85" s="162" t="s">
        <v>197</v>
      </c>
      <c r="G85" s="162" t="s">
        <v>202</v>
      </c>
      <c r="H85" s="162" t="s">
        <v>207</v>
      </c>
      <c r="I85" s="161" t="s">
        <v>180</v>
      </c>
      <c r="J85" s="161" t="s">
        <v>189</v>
      </c>
      <c r="K85" s="198"/>
      <c r="L85" s="199"/>
      <c r="M85" s="66"/>
      <c r="N85" s="66"/>
    </row>
    <row r="86" spans="1:18" ht="13.8">
      <c r="A86" s="82"/>
      <c r="B86" s="167" t="s">
        <v>17</v>
      </c>
      <c r="C86" s="167" t="s">
        <v>149</v>
      </c>
      <c r="D86" s="164" t="s">
        <v>150</v>
      </c>
      <c r="E86" s="167" t="s">
        <v>155</v>
      </c>
      <c r="F86" s="164" t="s">
        <v>158</v>
      </c>
      <c r="G86" s="167" t="s">
        <v>161</v>
      </c>
      <c r="H86" s="207" t="s">
        <v>164</v>
      </c>
      <c r="I86" s="216">
        <f t="shared" ref="I86:I117" si="35">IF(I15="","",I15)</f>
        <v>27.2</v>
      </c>
      <c r="J86" s="247" t="str">
        <f>IF(I86="","",CONCATENATE(C86,"_",D86,"_",E86,"_",F86,"_",G86,"_",H86))</f>
        <v>A1_B1_C1_D1_E1_F1</v>
      </c>
      <c r="K86" s="198"/>
      <c r="L86" s="199"/>
      <c r="M86" s="66"/>
      <c r="N86" s="66"/>
    </row>
    <row r="87" spans="1:18" ht="13.8">
      <c r="A87" s="82"/>
      <c r="B87" s="167" t="s">
        <v>17</v>
      </c>
      <c r="C87" s="167" t="s">
        <v>149</v>
      </c>
      <c r="D87" s="164" t="s">
        <v>150</v>
      </c>
      <c r="E87" s="167" t="s">
        <v>155</v>
      </c>
      <c r="F87" s="164" t="s">
        <v>158</v>
      </c>
      <c r="G87" s="167" t="s">
        <v>161</v>
      </c>
      <c r="H87" s="207" t="s">
        <v>165</v>
      </c>
      <c r="I87" s="216">
        <f t="shared" si="35"/>
        <v>31.25</v>
      </c>
      <c r="J87" s="248" t="str">
        <f t="shared" ref="J87:J150" si="36">IF(I87="","",CONCATENATE(C87,"_",D87,"_",E87,"_",F87,"_",G87,"_",H87))</f>
        <v>A1_B1_C1_D1_E1_F2</v>
      </c>
      <c r="K87" s="198"/>
      <c r="L87" s="199"/>
      <c r="M87" s="66"/>
      <c r="N87" s="66"/>
    </row>
    <row r="88" spans="1:18" ht="13.8">
      <c r="A88" s="82"/>
      <c r="B88" s="167" t="s">
        <v>17</v>
      </c>
      <c r="C88" s="167" t="s">
        <v>149</v>
      </c>
      <c r="D88" s="164" t="s">
        <v>150</v>
      </c>
      <c r="E88" s="167" t="s">
        <v>155</v>
      </c>
      <c r="F88" s="164" t="s">
        <v>158</v>
      </c>
      <c r="G88" s="167" t="s">
        <v>162</v>
      </c>
      <c r="H88" s="207" t="s">
        <v>164</v>
      </c>
      <c r="I88" s="216">
        <f t="shared" si="35"/>
        <v>20.928000000000001</v>
      </c>
      <c r="J88" s="248" t="str">
        <f t="shared" si="36"/>
        <v>A1_B1_C1_D1_E2_F1</v>
      </c>
      <c r="K88" s="198"/>
      <c r="L88" s="199"/>
      <c r="M88" s="66"/>
      <c r="N88" s="66"/>
    </row>
    <row r="89" spans="1:18" ht="13.8">
      <c r="A89" s="82"/>
      <c r="B89" s="167" t="s">
        <v>17</v>
      </c>
      <c r="C89" s="167" t="s">
        <v>149</v>
      </c>
      <c r="D89" s="164" t="s">
        <v>150</v>
      </c>
      <c r="E89" s="167" t="s">
        <v>155</v>
      </c>
      <c r="F89" s="164" t="s">
        <v>158</v>
      </c>
      <c r="G89" s="167" t="s">
        <v>162</v>
      </c>
      <c r="H89" s="207" t="s">
        <v>165</v>
      </c>
      <c r="I89" s="216">
        <f t="shared" si="35"/>
        <v>18.750999999999998</v>
      </c>
      <c r="J89" s="248" t="str">
        <f t="shared" si="36"/>
        <v>A1_B1_C1_D1_E2_F2</v>
      </c>
      <c r="K89" s="198"/>
      <c r="L89" s="199"/>
      <c r="M89" s="66"/>
      <c r="N89" s="66"/>
    </row>
    <row r="90" spans="1:18" ht="13.8">
      <c r="A90" s="82"/>
      <c r="B90" s="167" t="s">
        <v>17</v>
      </c>
      <c r="C90" s="167" t="s">
        <v>149</v>
      </c>
      <c r="D90" s="164" t="s">
        <v>150</v>
      </c>
      <c r="E90" s="167" t="s">
        <v>155</v>
      </c>
      <c r="F90" s="164" t="s">
        <v>159</v>
      </c>
      <c r="G90" s="167" t="s">
        <v>161</v>
      </c>
      <c r="H90" s="207" t="s">
        <v>164</v>
      </c>
      <c r="I90" s="216">
        <f t="shared" si="35"/>
        <v>23.085000000000001</v>
      </c>
      <c r="J90" s="248" t="str">
        <f t="shared" si="36"/>
        <v>A1_B1_C1_D2_E1_F1</v>
      </c>
      <c r="K90" s="198"/>
      <c r="L90" s="199"/>
      <c r="M90" s="66"/>
      <c r="N90" s="66"/>
      <c r="Q90" s="57" t="str">
        <f>B11</f>
        <v>E</v>
      </c>
      <c r="R90" s="57" t="str">
        <f>B11</f>
        <v>E</v>
      </c>
    </row>
    <row r="91" spans="1:18" ht="13.8">
      <c r="A91" s="82"/>
      <c r="B91" s="167" t="s">
        <v>17</v>
      </c>
      <c r="C91" s="167" t="s">
        <v>149</v>
      </c>
      <c r="D91" s="164" t="s">
        <v>150</v>
      </c>
      <c r="E91" s="167" t="s">
        <v>155</v>
      </c>
      <c r="F91" s="164" t="s">
        <v>159</v>
      </c>
      <c r="G91" s="167" t="s">
        <v>161</v>
      </c>
      <c r="H91" s="207" t="s">
        <v>165</v>
      </c>
      <c r="I91" s="216">
        <f t="shared" si="35"/>
        <v>25.367000000000001</v>
      </c>
      <c r="J91" s="248" t="str">
        <f t="shared" si="36"/>
        <v>A1_B1_C1_D2_E1_F2</v>
      </c>
      <c r="K91" s="198"/>
      <c r="L91" s="199"/>
      <c r="M91" s="66"/>
      <c r="N91" s="66"/>
      <c r="Q91" s="57" t="str">
        <f>C11</f>
        <v>E inf</v>
      </c>
      <c r="R91" s="57" t="str">
        <f>D11</f>
        <v>E sup</v>
      </c>
    </row>
    <row r="92" spans="1:18" ht="13.8">
      <c r="A92" s="82"/>
      <c r="B92" s="167" t="s">
        <v>17</v>
      </c>
      <c r="C92" s="167" t="s">
        <v>149</v>
      </c>
      <c r="D92" s="164" t="s">
        <v>150</v>
      </c>
      <c r="E92" s="167" t="s">
        <v>155</v>
      </c>
      <c r="F92" s="164" t="s">
        <v>159</v>
      </c>
      <c r="G92" s="167" t="s">
        <v>162</v>
      </c>
      <c r="H92" s="207" t="s">
        <v>164</v>
      </c>
      <c r="I92" s="216">
        <f t="shared" si="35"/>
        <v>23.676000000000002</v>
      </c>
      <c r="J92" s="248" t="str">
        <f t="shared" si="36"/>
        <v>A1_B1_C1_D2_E2_F1</v>
      </c>
      <c r="K92" s="198"/>
      <c r="L92" s="199"/>
      <c r="M92" s="66"/>
      <c r="N92" s="66"/>
      <c r="O92" s="57" t="str">
        <f>C12</f>
        <v>F inf</v>
      </c>
      <c r="P92" s="57" t="str">
        <f>B12</f>
        <v>F</v>
      </c>
      <c r="Q92" s="54">
        <f>AVERAGE(se1f1)</f>
        <v>17.247624999999999</v>
      </c>
      <c r="R92" s="54">
        <f>AVERAGE(se2f1)</f>
        <v>18.245750000000001</v>
      </c>
    </row>
    <row r="93" spans="1:18" ht="13.8">
      <c r="A93" s="82"/>
      <c r="B93" s="167" t="s">
        <v>17</v>
      </c>
      <c r="C93" s="167" t="s">
        <v>149</v>
      </c>
      <c r="D93" s="164" t="s">
        <v>150</v>
      </c>
      <c r="E93" s="167" t="s">
        <v>155</v>
      </c>
      <c r="F93" s="164" t="s">
        <v>159</v>
      </c>
      <c r="G93" s="167" t="s">
        <v>162</v>
      </c>
      <c r="H93" s="207" t="s">
        <v>165</v>
      </c>
      <c r="I93" s="216">
        <f t="shared" si="35"/>
        <v>25.667999999999999</v>
      </c>
      <c r="J93" s="248" t="str">
        <f t="shared" si="36"/>
        <v>A1_B1_C1_D2_E2_F2</v>
      </c>
      <c r="K93" s="200"/>
      <c r="L93" s="199"/>
      <c r="M93" s="66"/>
      <c r="N93" s="66"/>
      <c r="O93" s="57" t="str">
        <f>D12</f>
        <v>F sup</v>
      </c>
      <c r="P93" s="57" t="str">
        <f>B12</f>
        <v>F</v>
      </c>
      <c r="Q93" s="54">
        <f>AVERAGE(se1f2)</f>
        <v>17.691812499999997</v>
      </c>
      <c r="R93" s="54">
        <f>AVERAGE(se2f2)</f>
        <v>18.395812500000002</v>
      </c>
    </row>
    <row r="94" spans="1:18" ht="13.8">
      <c r="A94" s="82"/>
      <c r="B94" s="167" t="s">
        <v>17</v>
      </c>
      <c r="C94" s="167" t="s">
        <v>149</v>
      </c>
      <c r="D94" s="164" t="s">
        <v>150</v>
      </c>
      <c r="E94" s="167" t="s">
        <v>156</v>
      </c>
      <c r="F94" s="164" t="s">
        <v>158</v>
      </c>
      <c r="G94" s="167" t="s">
        <v>161</v>
      </c>
      <c r="H94" s="207" t="s">
        <v>164</v>
      </c>
      <c r="I94" s="216">
        <f t="shared" si="35"/>
        <v>23.3</v>
      </c>
      <c r="J94" s="248" t="str">
        <f t="shared" si="36"/>
        <v>A1_B1_C2_D1_E1_F1</v>
      </c>
      <c r="K94" s="198"/>
      <c r="L94" s="199"/>
      <c r="M94" s="66"/>
      <c r="N94" s="66"/>
      <c r="O94" s="57"/>
      <c r="P94" s="57"/>
      <c r="Q94" s="65"/>
      <c r="R94" s="65"/>
    </row>
    <row r="95" spans="1:18" ht="13.8">
      <c r="A95" s="82"/>
      <c r="B95" s="167" t="s">
        <v>17</v>
      </c>
      <c r="C95" s="167" t="s">
        <v>149</v>
      </c>
      <c r="D95" s="164" t="s">
        <v>150</v>
      </c>
      <c r="E95" s="167" t="s">
        <v>156</v>
      </c>
      <c r="F95" s="164" t="s">
        <v>158</v>
      </c>
      <c r="G95" s="167" t="s">
        <v>161</v>
      </c>
      <c r="H95" s="207" t="s">
        <v>165</v>
      </c>
      <c r="I95" s="216">
        <f t="shared" si="35"/>
        <v>25.094999999999999</v>
      </c>
      <c r="J95" s="248" t="str">
        <f t="shared" si="36"/>
        <v>A1_B1_C2_D1_E1_F2</v>
      </c>
      <c r="K95" s="198"/>
      <c r="L95" s="199"/>
      <c r="M95" s="66"/>
      <c r="N95" s="66"/>
      <c r="O95" s="57"/>
      <c r="P95" s="57"/>
      <c r="Q95" s="65"/>
      <c r="R95" s="65"/>
    </row>
    <row r="96" spans="1:18" ht="13.8">
      <c r="A96" s="82"/>
      <c r="B96" s="167" t="s">
        <v>17</v>
      </c>
      <c r="C96" s="167" t="s">
        <v>149</v>
      </c>
      <c r="D96" s="164" t="s">
        <v>150</v>
      </c>
      <c r="E96" s="167" t="s">
        <v>156</v>
      </c>
      <c r="F96" s="164" t="s">
        <v>158</v>
      </c>
      <c r="G96" s="167" t="s">
        <v>162</v>
      </c>
      <c r="H96" s="207" t="s">
        <v>164</v>
      </c>
      <c r="I96" s="216">
        <f t="shared" si="35"/>
        <v>27.661000000000001</v>
      </c>
      <c r="J96" s="248" t="str">
        <f t="shared" si="36"/>
        <v>A1_B1_C2_D1_E2_F1</v>
      </c>
      <c r="K96" s="198"/>
      <c r="L96" s="199"/>
      <c r="M96" s="66"/>
      <c r="N96" s="66"/>
      <c r="O96" s="57"/>
      <c r="P96" s="57"/>
      <c r="Q96" s="65"/>
      <c r="R96" s="65"/>
    </row>
    <row r="97" spans="1:18" ht="13.8">
      <c r="A97" s="82"/>
      <c r="B97" s="167" t="s">
        <v>17</v>
      </c>
      <c r="C97" s="167" t="s">
        <v>149</v>
      </c>
      <c r="D97" s="164" t="s">
        <v>150</v>
      </c>
      <c r="E97" s="167" t="s">
        <v>156</v>
      </c>
      <c r="F97" s="164" t="s">
        <v>158</v>
      </c>
      <c r="G97" s="167" t="s">
        <v>162</v>
      </c>
      <c r="H97" s="207" t="s">
        <v>165</v>
      </c>
      <c r="I97" s="216">
        <f t="shared" si="35"/>
        <v>32.397999999999996</v>
      </c>
      <c r="J97" s="248" t="str">
        <f t="shared" si="36"/>
        <v>A1_B1_C2_D1_E2_F2</v>
      </c>
      <c r="K97" s="198"/>
      <c r="L97" s="199"/>
      <c r="M97" s="66"/>
      <c r="N97" s="66"/>
      <c r="O97" s="57"/>
      <c r="P97" s="57"/>
      <c r="Q97" s="65"/>
      <c r="R97" s="65"/>
    </row>
    <row r="98" spans="1:18" ht="13.8">
      <c r="A98" s="82"/>
      <c r="B98" s="167" t="s">
        <v>17</v>
      </c>
      <c r="C98" s="167" t="s">
        <v>149</v>
      </c>
      <c r="D98" s="164" t="s">
        <v>150</v>
      </c>
      <c r="E98" s="167" t="s">
        <v>156</v>
      </c>
      <c r="F98" s="164" t="s">
        <v>159</v>
      </c>
      <c r="G98" s="167" t="s">
        <v>161</v>
      </c>
      <c r="H98" s="207" t="s">
        <v>164</v>
      </c>
      <c r="I98" s="216">
        <f t="shared" si="35"/>
        <v>17.538</v>
      </c>
      <c r="J98" s="248" t="str">
        <f t="shared" si="36"/>
        <v>A1_B1_C2_D2_E1_F1</v>
      </c>
      <c r="K98" s="200"/>
      <c r="L98" s="66"/>
      <c r="M98" s="66"/>
      <c r="N98" s="66"/>
      <c r="O98" s="57"/>
      <c r="P98" s="57"/>
      <c r="Q98" s="65"/>
      <c r="R98" s="65"/>
    </row>
    <row r="99" spans="1:18" ht="13.8">
      <c r="A99" s="82"/>
      <c r="B99" s="167" t="s">
        <v>17</v>
      </c>
      <c r="C99" s="167" t="s">
        <v>149</v>
      </c>
      <c r="D99" s="164" t="s">
        <v>150</v>
      </c>
      <c r="E99" s="167" t="s">
        <v>156</v>
      </c>
      <c r="F99" s="164" t="s">
        <v>159</v>
      </c>
      <c r="G99" s="167" t="s">
        <v>161</v>
      </c>
      <c r="H99" s="207" t="s">
        <v>165</v>
      </c>
      <c r="I99" s="216">
        <f t="shared" si="35"/>
        <v>22.687999999999999</v>
      </c>
      <c r="J99" s="248" t="str">
        <f t="shared" si="36"/>
        <v>A1_B1_C2_D2_E1_F2</v>
      </c>
      <c r="K99" s="66"/>
      <c r="L99" s="66"/>
      <c r="M99" s="66"/>
      <c r="N99" s="66"/>
      <c r="O99" s="57"/>
      <c r="P99" s="57"/>
      <c r="Q99" s="65"/>
      <c r="R99" s="65"/>
    </row>
    <row r="100" spans="1:18" ht="13.8">
      <c r="A100" s="82"/>
      <c r="B100" s="167" t="s">
        <v>17</v>
      </c>
      <c r="C100" s="167" t="s">
        <v>149</v>
      </c>
      <c r="D100" s="164" t="s">
        <v>150</v>
      </c>
      <c r="E100" s="167" t="s">
        <v>156</v>
      </c>
      <c r="F100" s="164" t="s">
        <v>159</v>
      </c>
      <c r="G100" s="167" t="s">
        <v>162</v>
      </c>
      <c r="H100" s="207" t="s">
        <v>164</v>
      </c>
      <c r="I100" s="216">
        <f t="shared" si="35"/>
        <v>26.661000000000001</v>
      </c>
      <c r="J100" s="248" t="str">
        <f t="shared" si="36"/>
        <v>A1_B1_C2_D2_E2_F1</v>
      </c>
      <c r="K100" s="66"/>
      <c r="L100" s="66"/>
      <c r="M100" s="66"/>
      <c r="N100" s="66"/>
      <c r="O100" s="57"/>
      <c r="P100" s="57"/>
      <c r="Q100" s="65"/>
      <c r="R100" s="65"/>
    </row>
    <row r="101" spans="1:18" ht="13.8">
      <c r="A101" s="82"/>
      <c r="B101" s="167" t="s">
        <v>17</v>
      </c>
      <c r="C101" s="167" t="s">
        <v>149</v>
      </c>
      <c r="D101" s="164" t="s">
        <v>150</v>
      </c>
      <c r="E101" s="167" t="s">
        <v>156</v>
      </c>
      <c r="F101" s="207" t="s">
        <v>159</v>
      </c>
      <c r="G101" s="166" t="s">
        <v>162</v>
      </c>
      <c r="H101" s="207" t="s">
        <v>165</v>
      </c>
      <c r="I101" s="216">
        <f t="shared" si="35"/>
        <v>21.146999999999998</v>
      </c>
      <c r="J101" s="248" t="str">
        <f t="shared" si="36"/>
        <v>A1_B1_C2_D2_E2_F2</v>
      </c>
      <c r="K101" s="66"/>
      <c r="L101" s="66"/>
      <c r="M101" s="66"/>
      <c r="N101" s="66"/>
      <c r="O101" s="57"/>
      <c r="P101" s="57"/>
      <c r="Q101" s="65"/>
      <c r="R101" s="65"/>
    </row>
    <row r="102" spans="1:18" ht="13.8">
      <c r="A102" s="82"/>
      <c r="B102" s="167" t="s">
        <v>17</v>
      </c>
      <c r="C102" s="167" t="s">
        <v>149</v>
      </c>
      <c r="D102" s="164" t="s">
        <v>151</v>
      </c>
      <c r="E102" s="167" t="s">
        <v>155</v>
      </c>
      <c r="F102" s="207" t="s">
        <v>158</v>
      </c>
      <c r="G102" s="166" t="s">
        <v>161</v>
      </c>
      <c r="H102" s="207" t="s">
        <v>164</v>
      </c>
      <c r="I102" s="216">
        <f t="shared" si="35"/>
        <v>27.442</v>
      </c>
      <c r="J102" s="248" t="str">
        <f t="shared" si="36"/>
        <v>A1_B2_C1_D1_E1_F1</v>
      </c>
      <c r="K102" s="66"/>
      <c r="L102" s="66"/>
      <c r="M102" s="66"/>
      <c r="N102" s="66"/>
      <c r="O102" s="57"/>
      <c r="P102" s="57"/>
      <c r="Q102" s="65"/>
      <c r="R102" s="65"/>
    </row>
    <row r="103" spans="1:18" ht="13.8">
      <c r="A103" s="82"/>
      <c r="B103" s="167" t="s">
        <v>17</v>
      </c>
      <c r="C103" s="167" t="s">
        <v>149</v>
      </c>
      <c r="D103" s="164" t="s">
        <v>151</v>
      </c>
      <c r="E103" s="167" t="s">
        <v>155</v>
      </c>
      <c r="F103" s="207" t="s">
        <v>158</v>
      </c>
      <c r="G103" s="166" t="s">
        <v>161</v>
      </c>
      <c r="H103" s="207" t="s">
        <v>165</v>
      </c>
      <c r="I103" s="216">
        <f t="shared" si="35"/>
        <v>24.312000000000001</v>
      </c>
      <c r="J103" s="248" t="str">
        <f t="shared" si="36"/>
        <v>A1_B2_C1_D1_E1_F2</v>
      </c>
      <c r="K103" s="66"/>
      <c r="L103" s="66"/>
      <c r="M103" s="66"/>
      <c r="N103" s="66"/>
      <c r="O103" s="57"/>
      <c r="P103" s="57"/>
      <c r="Q103" s="65"/>
      <c r="R103" s="65"/>
    </row>
    <row r="104" spans="1:18" ht="13.8">
      <c r="A104" s="82"/>
      <c r="B104" s="167" t="s">
        <v>17</v>
      </c>
      <c r="C104" s="167" t="s">
        <v>149</v>
      </c>
      <c r="D104" s="164" t="s">
        <v>151</v>
      </c>
      <c r="E104" s="167" t="s">
        <v>155</v>
      </c>
      <c r="F104" s="207" t="s">
        <v>158</v>
      </c>
      <c r="G104" s="166" t="s">
        <v>162</v>
      </c>
      <c r="H104" s="207" t="s">
        <v>164</v>
      </c>
      <c r="I104" s="216">
        <f t="shared" si="35"/>
        <v>29.439999999999998</v>
      </c>
      <c r="J104" s="248" t="str">
        <f t="shared" si="36"/>
        <v>A1_B2_C1_D1_E2_F1</v>
      </c>
      <c r="K104" s="66"/>
      <c r="L104" s="66"/>
      <c r="M104" s="66"/>
      <c r="N104" s="66"/>
      <c r="O104" s="57"/>
      <c r="P104" s="57"/>
      <c r="Q104" s="65"/>
      <c r="R104" s="65"/>
    </row>
    <row r="105" spans="1:18" ht="13.8">
      <c r="A105" s="69"/>
      <c r="B105" s="166" t="s">
        <v>17</v>
      </c>
      <c r="C105" s="166" t="s">
        <v>149</v>
      </c>
      <c r="D105" s="207" t="s">
        <v>151</v>
      </c>
      <c r="E105" s="167" t="s">
        <v>155</v>
      </c>
      <c r="F105" s="207" t="s">
        <v>158</v>
      </c>
      <c r="G105" s="166" t="s">
        <v>162</v>
      </c>
      <c r="H105" s="207" t="s">
        <v>165</v>
      </c>
      <c r="I105" s="216">
        <f t="shared" si="35"/>
        <v>18.433999999999997</v>
      </c>
      <c r="J105" s="248" t="str">
        <f t="shared" si="36"/>
        <v>A1_B2_C1_D1_E2_F2</v>
      </c>
      <c r="K105" s="66"/>
      <c r="L105" s="66"/>
      <c r="M105" s="66"/>
      <c r="N105" s="66"/>
      <c r="O105" s="57"/>
      <c r="P105" s="57"/>
      <c r="Q105" s="65"/>
      <c r="R105" s="65"/>
    </row>
    <row r="106" spans="1:18" ht="15.6">
      <c r="A106" s="108"/>
      <c r="B106" s="166" t="s">
        <v>17</v>
      </c>
      <c r="C106" s="166" t="s">
        <v>149</v>
      </c>
      <c r="D106" s="207" t="s">
        <v>151</v>
      </c>
      <c r="E106" s="166" t="s">
        <v>155</v>
      </c>
      <c r="F106" s="207" t="s">
        <v>159</v>
      </c>
      <c r="G106" s="166" t="s">
        <v>161</v>
      </c>
      <c r="H106" s="207" t="s">
        <v>164</v>
      </c>
      <c r="I106" s="216">
        <f t="shared" si="35"/>
        <v>25.728000000000002</v>
      </c>
      <c r="J106" s="248" t="str">
        <f t="shared" si="36"/>
        <v>A1_B2_C1_D2_E1_F1</v>
      </c>
      <c r="K106" s="66"/>
      <c r="L106" s="66"/>
      <c r="M106" s="66"/>
      <c r="N106" s="66"/>
    </row>
    <row r="107" spans="1:18">
      <c r="A107" s="142"/>
      <c r="B107" s="218" t="s">
        <v>17</v>
      </c>
      <c r="C107" s="218" t="s">
        <v>149</v>
      </c>
      <c r="D107" s="214" t="s">
        <v>151</v>
      </c>
      <c r="E107" s="218" t="s">
        <v>155</v>
      </c>
      <c r="F107" s="214" t="s">
        <v>159</v>
      </c>
      <c r="G107" s="218" t="s">
        <v>161</v>
      </c>
      <c r="H107" s="214" t="s">
        <v>165</v>
      </c>
      <c r="I107" s="216">
        <f t="shared" si="35"/>
        <v>28.027999999999999</v>
      </c>
      <c r="J107" s="248" t="str">
        <f t="shared" si="36"/>
        <v>A1_B2_C1_D2_E1_F2</v>
      </c>
      <c r="K107" s="66"/>
      <c r="L107" s="66"/>
      <c r="M107" s="66"/>
      <c r="N107" s="66"/>
    </row>
    <row r="108" spans="1:18" s="74" customFormat="1">
      <c r="A108" s="143"/>
      <c r="B108" s="222" t="s">
        <v>17</v>
      </c>
      <c r="C108" s="222" t="s">
        <v>149</v>
      </c>
      <c r="D108" s="164" t="s">
        <v>151</v>
      </c>
      <c r="E108" s="220" t="s">
        <v>155</v>
      </c>
      <c r="F108" s="208" t="s">
        <v>159</v>
      </c>
      <c r="G108" s="219" t="s">
        <v>162</v>
      </c>
      <c r="H108" s="209" t="s">
        <v>164</v>
      </c>
      <c r="I108" s="216">
        <f t="shared" si="35"/>
        <v>23.818999999999999</v>
      </c>
      <c r="J108" s="248" t="str">
        <f t="shared" si="36"/>
        <v>A1_B2_C1_D2_E2_F1</v>
      </c>
      <c r="K108" s="72"/>
      <c r="L108" s="72"/>
      <c r="M108" s="72"/>
      <c r="N108" s="72"/>
    </row>
    <row r="109" spans="1:18" s="74" customFormat="1">
      <c r="A109" s="143"/>
      <c r="B109" s="222" t="s">
        <v>17</v>
      </c>
      <c r="C109" s="222" t="s">
        <v>149</v>
      </c>
      <c r="D109" s="164" t="s">
        <v>151</v>
      </c>
      <c r="E109" s="220" t="s">
        <v>155</v>
      </c>
      <c r="F109" s="208" t="s">
        <v>159</v>
      </c>
      <c r="G109" s="219" t="s">
        <v>162</v>
      </c>
      <c r="H109" s="209" t="s">
        <v>165</v>
      </c>
      <c r="I109" s="216">
        <f t="shared" si="35"/>
        <v>38.674999999999997</v>
      </c>
      <c r="J109" s="248" t="str">
        <f t="shared" si="36"/>
        <v>A1_B2_C1_D2_E2_F2</v>
      </c>
      <c r="K109" s="72"/>
      <c r="L109" s="72"/>
      <c r="M109" s="72"/>
      <c r="N109" s="72"/>
    </row>
    <row r="110" spans="1:18" s="74" customFormat="1">
      <c r="A110" s="143"/>
      <c r="B110" s="222" t="s">
        <v>17</v>
      </c>
      <c r="C110" s="222" t="s">
        <v>149</v>
      </c>
      <c r="D110" s="164" t="s">
        <v>151</v>
      </c>
      <c r="E110" s="220" t="s">
        <v>156</v>
      </c>
      <c r="F110" s="208" t="s">
        <v>158</v>
      </c>
      <c r="G110" s="219" t="s">
        <v>161</v>
      </c>
      <c r="H110" s="209" t="s">
        <v>164</v>
      </c>
      <c r="I110" s="216">
        <f t="shared" si="35"/>
        <v>14.833</v>
      </c>
      <c r="J110" s="248" t="str">
        <f t="shared" si="36"/>
        <v>A1_B2_C2_D1_E1_F1</v>
      </c>
      <c r="K110" s="72"/>
      <c r="L110" s="72"/>
      <c r="M110" s="72"/>
      <c r="N110" s="72"/>
    </row>
    <row r="111" spans="1:18" s="74" customFormat="1">
      <c r="A111" s="143"/>
      <c r="B111" s="222" t="s">
        <v>17</v>
      </c>
      <c r="C111" s="222" t="s">
        <v>149</v>
      </c>
      <c r="D111" s="164" t="s">
        <v>151</v>
      </c>
      <c r="E111" s="220" t="s">
        <v>156</v>
      </c>
      <c r="F111" s="208" t="s">
        <v>158</v>
      </c>
      <c r="G111" s="219" t="s">
        <v>161</v>
      </c>
      <c r="H111" s="209" t="s">
        <v>165</v>
      </c>
      <c r="I111" s="216">
        <f t="shared" si="35"/>
        <v>14.94</v>
      </c>
      <c r="J111" s="248" t="str">
        <f t="shared" si="36"/>
        <v>A1_B2_C2_D1_E1_F2</v>
      </c>
      <c r="K111" s="72"/>
      <c r="L111" s="72"/>
      <c r="M111" s="72"/>
      <c r="N111" s="72"/>
    </row>
    <row r="112" spans="1:18" s="74" customFormat="1">
      <c r="A112" s="143"/>
      <c r="B112" s="222" t="s">
        <v>17</v>
      </c>
      <c r="C112" s="222" t="s">
        <v>149</v>
      </c>
      <c r="D112" s="164" t="s">
        <v>151</v>
      </c>
      <c r="E112" s="220" t="s">
        <v>156</v>
      </c>
      <c r="F112" s="208" t="s">
        <v>158</v>
      </c>
      <c r="G112" s="219" t="s">
        <v>162</v>
      </c>
      <c r="H112" s="209" t="s">
        <v>164</v>
      </c>
      <c r="I112" s="216">
        <f t="shared" si="35"/>
        <v>24.954999999999998</v>
      </c>
      <c r="J112" s="248" t="str">
        <f t="shared" si="36"/>
        <v>A1_B2_C2_D1_E2_F1</v>
      </c>
      <c r="K112" s="72"/>
      <c r="L112" s="72"/>
      <c r="M112" s="72"/>
      <c r="N112" s="72"/>
    </row>
    <row r="113" spans="1:14" s="74" customFormat="1">
      <c r="A113" s="143"/>
      <c r="B113" s="222" t="s">
        <v>17</v>
      </c>
      <c r="C113" s="222" t="s">
        <v>149</v>
      </c>
      <c r="D113" s="164" t="s">
        <v>151</v>
      </c>
      <c r="E113" s="220" t="s">
        <v>156</v>
      </c>
      <c r="F113" s="208" t="s">
        <v>158</v>
      </c>
      <c r="G113" s="219" t="s">
        <v>162</v>
      </c>
      <c r="H113" s="209" t="s">
        <v>165</v>
      </c>
      <c r="I113" s="216">
        <f t="shared" si="35"/>
        <v>20.932000000000002</v>
      </c>
      <c r="J113" s="248" t="str">
        <f t="shared" si="36"/>
        <v>A1_B2_C2_D1_E2_F2</v>
      </c>
      <c r="K113" s="72"/>
      <c r="L113" s="72"/>
      <c r="M113" s="72"/>
      <c r="N113" s="72"/>
    </row>
    <row r="114" spans="1:14" s="75" customFormat="1" ht="13.8">
      <c r="A114" s="144"/>
      <c r="B114" s="223" t="s">
        <v>17</v>
      </c>
      <c r="C114" s="223" t="s">
        <v>149</v>
      </c>
      <c r="D114" s="210" t="s">
        <v>151</v>
      </c>
      <c r="E114" s="221" t="s">
        <v>156</v>
      </c>
      <c r="F114" s="211" t="s">
        <v>159</v>
      </c>
      <c r="G114" s="170" t="s">
        <v>161</v>
      </c>
      <c r="H114" s="212" t="s">
        <v>164</v>
      </c>
      <c r="I114" s="216">
        <f t="shared" si="35"/>
        <v>20.298000000000002</v>
      </c>
      <c r="J114" s="248" t="str">
        <f t="shared" si="36"/>
        <v>A1_B2_C2_D2_E1_F1</v>
      </c>
      <c r="K114" s="73"/>
      <c r="L114" s="73"/>
      <c r="M114" s="73"/>
      <c r="N114" s="73"/>
    </row>
    <row r="115" spans="1:14" s="75" customFormat="1" ht="13.8">
      <c r="A115" s="144"/>
      <c r="B115" s="223" t="s">
        <v>17</v>
      </c>
      <c r="C115" s="223" t="s">
        <v>149</v>
      </c>
      <c r="D115" s="210" t="s">
        <v>151</v>
      </c>
      <c r="E115" s="221" t="s">
        <v>156</v>
      </c>
      <c r="F115" s="211" t="s">
        <v>159</v>
      </c>
      <c r="G115" s="170" t="s">
        <v>161</v>
      </c>
      <c r="H115" s="212" t="s">
        <v>165</v>
      </c>
      <c r="I115" s="216">
        <f t="shared" si="35"/>
        <v>15.923999999999999</v>
      </c>
      <c r="J115" s="248" t="str">
        <f t="shared" si="36"/>
        <v>A1_B2_C2_D2_E1_F2</v>
      </c>
      <c r="K115" s="73"/>
      <c r="L115" s="73"/>
      <c r="M115" s="73"/>
      <c r="N115" s="73"/>
    </row>
    <row r="116" spans="1:14" s="75" customFormat="1" ht="13.8">
      <c r="A116" s="144"/>
      <c r="B116" s="223" t="s">
        <v>17</v>
      </c>
      <c r="C116" s="223" t="s">
        <v>149</v>
      </c>
      <c r="D116" s="210" t="s">
        <v>151</v>
      </c>
      <c r="E116" s="221" t="s">
        <v>156</v>
      </c>
      <c r="F116" s="211" t="s">
        <v>159</v>
      </c>
      <c r="G116" s="170" t="s">
        <v>162</v>
      </c>
      <c r="H116" s="212" t="s">
        <v>164</v>
      </c>
      <c r="I116" s="216">
        <f t="shared" si="35"/>
        <v>20.742000000000001</v>
      </c>
      <c r="J116" s="248" t="str">
        <f t="shared" si="36"/>
        <v>A1_B2_C2_D2_E2_F1</v>
      </c>
      <c r="K116" s="73"/>
      <c r="L116" s="73"/>
      <c r="M116" s="73"/>
      <c r="N116" s="73"/>
    </row>
    <row r="117" spans="1:14" s="75" customFormat="1" ht="13.8">
      <c r="A117" s="144"/>
      <c r="B117" s="223" t="s">
        <v>17</v>
      </c>
      <c r="C117" s="223" t="s">
        <v>149</v>
      </c>
      <c r="D117" s="210" t="s">
        <v>151</v>
      </c>
      <c r="E117" s="221" t="s">
        <v>156</v>
      </c>
      <c r="F117" s="211" t="s">
        <v>159</v>
      </c>
      <c r="G117" s="170" t="s">
        <v>162</v>
      </c>
      <c r="H117" s="212" t="s">
        <v>165</v>
      </c>
      <c r="I117" s="216">
        <f t="shared" si="35"/>
        <v>15.673</v>
      </c>
      <c r="J117" s="248" t="str">
        <f t="shared" si="36"/>
        <v>A1_B2_C2_D2_E2_F2</v>
      </c>
      <c r="K117" s="73"/>
      <c r="L117" s="73"/>
      <c r="M117" s="73"/>
      <c r="N117" s="73"/>
    </row>
    <row r="118" spans="1:14" s="75" customFormat="1" ht="13.8">
      <c r="A118" s="144"/>
      <c r="B118" s="223" t="s">
        <v>17</v>
      </c>
      <c r="C118" s="223" t="s">
        <v>152</v>
      </c>
      <c r="D118" s="210" t="s">
        <v>150</v>
      </c>
      <c r="E118" s="221" t="s">
        <v>155</v>
      </c>
      <c r="F118" s="211" t="s">
        <v>158</v>
      </c>
      <c r="G118" s="170" t="s">
        <v>161</v>
      </c>
      <c r="H118" s="212" t="s">
        <v>164</v>
      </c>
      <c r="I118" s="216">
        <f t="shared" ref="I118:I149" si="37">IF(I47="","",I47)</f>
        <v>10.554</v>
      </c>
      <c r="J118" s="248" t="str">
        <f t="shared" si="36"/>
        <v>A2_B1_C1_D1_E1_F1</v>
      </c>
      <c r="K118" s="73"/>
      <c r="L118" s="73"/>
      <c r="M118" s="73"/>
      <c r="N118" s="73"/>
    </row>
    <row r="119" spans="1:14" s="75" customFormat="1" ht="13.8">
      <c r="A119" s="144"/>
      <c r="B119" s="223" t="s">
        <v>17</v>
      </c>
      <c r="C119" s="223" t="s">
        <v>152</v>
      </c>
      <c r="D119" s="210" t="s">
        <v>150</v>
      </c>
      <c r="E119" s="221" t="s">
        <v>155</v>
      </c>
      <c r="F119" s="211" t="s">
        <v>158</v>
      </c>
      <c r="G119" s="170" t="s">
        <v>161</v>
      </c>
      <c r="H119" s="212" t="s">
        <v>165</v>
      </c>
      <c r="I119" s="216">
        <f t="shared" si="37"/>
        <v>19.396999999999998</v>
      </c>
      <c r="J119" s="248" t="str">
        <f t="shared" si="36"/>
        <v>A2_B1_C1_D1_E1_F2</v>
      </c>
      <c r="K119" s="73"/>
      <c r="L119" s="73"/>
      <c r="M119" s="73"/>
      <c r="N119" s="73"/>
    </row>
    <row r="120" spans="1:14" s="75" customFormat="1" ht="13.8">
      <c r="A120" s="144"/>
      <c r="B120" s="223" t="s">
        <v>17</v>
      </c>
      <c r="C120" s="223" t="s">
        <v>152</v>
      </c>
      <c r="D120" s="210" t="s">
        <v>150</v>
      </c>
      <c r="E120" s="221" t="s">
        <v>155</v>
      </c>
      <c r="F120" s="211" t="s">
        <v>158</v>
      </c>
      <c r="G120" s="170" t="s">
        <v>162</v>
      </c>
      <c r="H120" s="212" t="s">
        <v>164</v>
      </c>
      <c r="I120" s="216">
        <f t="shared" si="37"/>
        <v>17.292999999999999</v>
      </c>
      <c r="J120" s="248" t="str">
        <f t="shared" si="36"/>
        <v>A2_B1_C1_D1_E2_F1</v>
      </c>
      <c r="K120" s="73"/>
      <c r="L120" s="73"/>
      <c r="M120" s="73"/>
      <c r="N120" s="73"/>
    </row>
    <row r="121" spans="1:14" s="75" customFormat="1" ht="13.8">
      <c r="A121" s="144"/>
      <c r="B121" s="223" t="s">
        <v>17</v>
      </c>
      <c r="C121" s="223" t="s">
        <v>152</v>
      </c>
      <c r="D121" s="210" t="s">
        <v>150</v>
      </c>
      <c r="E121" s="221" t="s">
        <v>155</v>
      </c>
      <c r="F121" s="211" t="s">
        <v>158</v>
      </c>
      <c r="G121" s="170" t="s">
        <v>162</v>
      </c>
      <c r="H121" s="212" t="s">
        <v>165</v>
      </c>
      <c r="I121" s="216">
        <f t="shared" si="37"/>
        <v>11.711</v>
      </c>
      <c r="J121" s="248" t="str">
        <f t="shared" si="36"/>
        <v>A2_B1_C1_D1_E2_F2</v>
      </c>
      <c r="K121" s="73"/>
      <c r="L121" s="73"/>
      <c r="M121" s="73"/>
      <c r="N121" s="73"/>
    </row>
    <row r="122" spans="1:14" s="75" customFormat="1" ht="13.8">
      <c r="A122" s="144"/>
      <c r="B122" s="223" t="s">
        <v>17</v>
      </c>
      <c r="C122" s="223" t="s">
        <v>152</v>
      </c>
      <c r="D122" s="210" t="s">
        <v>150</v>
      </c>
      <c r="E122" s="221" t="s">
        <v>155</v>
      </c>
      <c r="F122" s="211" t="s">
        <v>159</v>
      </c>
      <c r="G122" s="170" t="s">
        <v>161</v>
      </c>
      <c r="H122" s="212" t="s">
        <v>164</v>
      </c>
      <c r="I122" s="216">
        <f t="shared" si="37"/>
        <v>14.113</v>
      </c>
      <c r="J122" s="248" t="str">
        <f t="shared" si="36"/>
        <v>A2_B1_C1_D2_E1_F1</v>
      </c>
      <c r="K122" s="73"/>
      <c r="L122" s="73"/>
      <c r="M122" s="73"/>
      <c r="N122" s="73"/>
    </row>
    <row r="123" spans="1:14" s="75" customFormat="1" ht="13.8">
      <c r="A123" s="144"/>
      <c r="B123" s="223" t="s">
        <v>17</v>
      </c>
      <c r="C123" s="223" t="s">
        <v>152</v>
      </c>
      <c r="D123" s="210" t="s">
        <v>150</v>
      </c>
      <c r="E123" s="221" t="s">
        <v>155</v>
      </c>
      <c r="F123" s="211" t="s">
        <v>159</v>
      </c>
      <c r="G123" s="170" t="s">
        <v>161</v>
      </c>
      <c r="H123" s="212" t="s">
        <v>165</v>
      </c>
      <c r="I123" s="216">
        <f t="shared" si="37"/>
        <v>14.873999999999999</v>
      </c>
      <c r="J123" s="248" t="str">
        <f t="shared" si="36"/>
        <v>A2_B1_C1_D2_E1_F2</v>
      </c>
      <c r="K123" s="73"/>
      <c r="L123" s="73"/>
      <c r="M123" s="73"/>
      <c r="N123" s="73"/>
    </row>
    <row r="124" spans="1:14" s="75" customFormat="1" ht="13.8">
      <c r="A124" s="144"/>
      <c r="B124" s="223" t="s">
        <v>17</v>
      </c>
      <c r="C124" s="223" t="s">
        <v>152</v>
      </c>
      <c r="D124" s="210" t="s">
        <v>150</v>
      </c>
      <c r="E124" s="221" t="s">
        <v>155</v>
      </c>
      <c r="F124" s="211" t="s">
        <v>159</v>
      </c>
      <c r="G124" s="170" t="s">
        <v>162</v>
      </c>
      <c r="H124" s="212" t="s">
        <v>164</v>
      </c>
      <c r="I124" s="216">
        <f t="shared" si="37"/>
        <v>18.117000000000001</v>
      </c>
      <c r="J124" s="248" t="str">
        <f t="shared" si="36"/>
        <v>A2_B1_C1_D2_E2_F1</v>
      </c>
      <c r="K124" s="73"/>
      <c r="L124" s="73"/>
      <c r="M124" s="73"/>
      <c r="N124" s="73"/>
    </row>
    <row r="125" spans="1:14" s="75" customFormat="1" ht="13.8">
      <c r="A125" s="144"/>
      <c r="B125" s="223" t="s">
        <v>17</v>
      </c>
      <c r="C125" s="223" t="s">
        <v>152</v>
      </c>
      <c r="D125" s="210" t="s">
        <v>150</v>
      </c>
      <c r="E125" s="221" t="s">
        <v>155</v>
      </c>
      <c r="F125" s="211" t="s">
        <v>159</v>
      </c>
      <c r="G125" s="170" t="s">
        <v>162</v>
      </c>
      <c r="H125" s="212" t="s">
        <v>165</v>
      </c>
      <c r="I125" s="216">
        <f t="shared" si="37"/>
        <v>16.077999999999999</v>
      </c>
      <c r="J125" s="248" t="str">
        <f t="shared" si="36"/>
        <v>A2_B1_C1_D2_E2_F2</v>
      </c>
      <c r="K125" s="73"/>
      <c r="L125" s="73"/>
      <c r="M125" s="73"/>
      <c r="N125" s="73"/>
    </row>
    <row r="126" spans="1:14" s="75" customFormat="1" ht="13.8">
      <c r="A126" s="144"/>
      <c r="B126" s="223" t="s">
        <v>17</v>
      </c>
      <c r="C126" s="223" t="s">
        <v>152</v>
      </c>
      <c r="D126" s="210" t="s">
        <v>150</v>
      </c>
      <c r="E126" s="221" t="s">
        <v>156</v>
      </c>
      <c r="F126" s="211" t="s">
        <v>158</v>
      </c>
      <c r="G126" s="170" t="s">
        <v>161</v>
      </c>
      <c r="H126" s="212" t="s">
        <v>164</v>
      </c>
      <c r="I126" s="216">
        <f t="shared" si="37"/>
        <v>15.471</v>
      </c>
      <c r="J126" s="248" t="str">
        <f t="shared" si="36"/>
        <v>A2_B1_C2_D1_E1_F1</v>
      </c>
      <c r="K126" s="73"/>
      <c r="L126" s="73"/>
      <c r="M126" s="73"/>
      <c r="N126" s="73"/>
    </row>
    <row r="127" spans="1:14" s="75" customFormat="1" ht="13.8">
      <c r="A127" s="144"/>
      <c r="B127" s="223" t="s">
        <v>17</v>
      </c>
      <c r="C127" s="223" t="s">
        <v>152</v>
      </c>
      <c r="D127" s="210" t="s">
        <v>150</v>
      </c>
      <c r="E127" s="221" t="s">
        <v>156</v>
      </c>
      <c r="F127" s="211" t="s">
        <v>158</v>
      </c>
      <c r="G127" s="170" t="s">
        <v>161</v>
      </c>
      <c r="H127" s="212" t="s">
        <v>165</v>
      </c>
      <c r="I127" s="216">
        <f t="shared" si="37"/>
        <v>13.773999999999999</v>
      </c>
      <c r="J127" s="248" t="str">
        <f t="shared" si="36"/>
        <v>A2_B1_C2_D1_E1_F2</v>
      </c>
      <c r="K127" s="73"/>
      <c r="L127" s="73"/>
      <c r="M127" s="73"/>
      <c r="N127" s="73"/>
    </row>
    <row r="128" spans="1:14" s="75" customFormat="1" ht="13.8">
      <c r="A128" s="144"/>
      <c r="B128" s="223" t="s">
        <v>17</v>
      </c>
      <c r="C128" s="223" t="s">
        <v>152</v>
      </c>
      <c r="D128" s="210" t="s">
        <v>150</v>
      </c>
      <c r="E128" s="221" t="s">
        <v>156</v>
      </c>
      <c r="F128" s="211" t="s">
        <v>158</v>
      </c>
      <c r="G128" s="170" t="s">
        <v>162</v>
      </c>
      <c r="H128" s="212" t="s">
        <v>164</v>
      </c>
      <c r="I128" s="216">
        <f t="shared" si="37"/>
        <v>4.8049999999999997</v>
      </c>
      <c r="J128" s="248" t="str">
        <f t="shared" si="36"/>
        <v>A2_B1_C2_D1_E2_F1</v>
      </c>
      <c r="K128" s="73"/>
      <c r="L128" s="73"/>
      <c r="M128" s="73"/>
      <c r="N128" s="73"/>
    </row>
    <row r="129" spans="1:14" s="77" customFormat="1">
      <c r="A129" s="145"/>
      <c r="B129" s="166" t="s">
        <v>17</v>
      </c>
      <c r="C129" s="166" t="s">
        <v>152</v>
      </c>
      <c r="D129" s="164" t="s">
        <v>150</v>
      </c>
      <c r="E129" s="220" t="s">
        <v>156</v>
      </c>
      <c r="F129" s="208" t="s">
        <v>158</v>
      </c>
      <c r="G129" s="166" t="s">
        <v>162</v>
      </c>
      <c r="H129" s="207" t="s">
        <v>165</v>
      </c>
      <c r="I129" s="216">
        <f t="shared" si="37"/>
        <v>10.841000000000001</v>
      </c>
      <c r="J129" s="248" t="str">
        <f t="shared" si="36"/>
        <v>A2_B1_C2_D1_E2_F2</v>
      </c>
      <c r="K129" s="76"/>
      <c r="L129" s="76"/>
      <c r="M129" s="76"/>
      <c r="N129" s="76"/>
    </row>
    <row r="130" spans="1:14" s="77" customFormat="1">
      <c r="A130" s="145"/>
      <c r="B130" s="166" t="s">
        <v>17</v>
      </c>
      <c r="C130" s="166" t="s">
        <v>152</v>
      </c>
      <c r="D130" s="164" t="s">
        <v>150</v>
      </c>
      <c r="E130" s="220" t="s">
        <v>156</v>
      </c>
      <c r="F130" s="208" t="s">
        <v>159</v>
      </c>
      <c r="G130" s="166" t="s">
        <v>161</v>
      </c>
      <c r="H130" s="207" t="s">
        <v>164</v>
      </c>
      <c r="I130" s="216">
        <f t="shared" si="37"/>
        <v>17.444000000000003</v>
      </c>
      <c r="J130" s="248" t="str">
        <f t="shared" si="36"/>
        <v>A2_B1_C2_D2_E1_F1</v>
      </c>
      <c r="K130" s="76"/>
      <c r="L130" s="76"/>
      <c r="M130" s="76"/>
      <c r="N130" s="76"/>
    </row>
    <row r="131" spans="1:14">
      <c r="A131" s="66"/>
      <c r="B131" s="166" t="s">
        <v>17</v>
      </c>
      <c r="C131" s="166" t="s">
        <v>152</v>
      </c>
      <c r="D131" s="207" t="s">
        <v>150</v>
      </c>
      <c r="E131" s="166" t="s">
        <v>156</v>
      </c>
      <c r="F131" s="207" t="s">
        <v>159</v>
      </c>
      <c r="G131" s="166" t="s">
        <v>161</v>
      </c>
      <c r="H131" s="207" t="s">
        <v>165</v>
      </c>
      <c r="I131" s="216">
        <f t="shared" si="37"/>
        <v>4.343</v>
      </c>
      <c r="J131" s="248" t="str">
        <f t="shared" si="36"/>
        <v>A2_B1_C2_D2_E1_F2</v>
      </c>
      <c r="K131" s="66"/>
      <c r="L131" s="66"/>
      <c r="M131" s="66"/>
      <c r="N131" s="66"/>
    </row>
    <row r="132" spans="1:14">
      <c r="B132" s="166" t="s">
        <v>17</v>
      </c>
      <c r="C132" s="166" t="s">
        <v>152</v>
      </c>
      <c r="D132" s="213" t="s">
        <v>150</v>
      </c>
      <c r="E132" s="166" t="s">
        <v>156</v>
      </c>
      <c r="F132" s="213" t="s">
        <v>159</v>
      </c>
      <c r="G132" s="166" t="s">
        <v>162</v>
      </c>
      <c r="H132" s="213" t="s">
        <v>164</v>
      </c>
      <c r="I132" s="216">
        <f t="shared" si="37"/>
        <v>4.5640000000000001</v>
      </c>
      <c r="J132" s="248" t="str">
        <f t="shared" si="36"/>
        <v>A2_B1_C2_D2_E2_F1</v>
      </c>
      <c r="K132" s="66"/>
      <c r="L132" s="66"/>
      <c r="M132" s="66"/>
      <c r="N132" s="66"/>
    </row>
    <row r="133" spans="1:14">
      <c r="B133" s="166" t="s">
        <v>17</v>
      </c>
      <c r="C133" s="166" t="s">
        <v>152</v>
      </c>
      <c r="D133" s="213" t="s">
        <v>150</v>
      </c>
      <c r="E133" s="166" t="s">
        <v>156</v>
      </c>
      <c r="F133" s="213" t="s">
        <v>159</v>
      </c>
      <c r="G133" s="166" t="s">
        <v>162</v>
      </c>
      <c r="H133" s="213" t="s">
        <v>165</v>
      </c>
      <c r="I133" s="216">
        <f t="shared" si="37"/>
        <v>20.167999999999999</v>
      </c>
      <c r="J133" s="248" t="str">
        <f t="shared" si="36"/>
        <v>A2_B1_C2_D2_E2_F2</v>
      </c>
      <c r="K133" s="66"/>
      <c r="L133" s="66"/>
      <c r="M133" s="66"/>
      <c r="N133" s="66"/>
    </row>
    <row r="134" spans="1:14">
      <c r="B134" s="166" t="s">
        <v>17</v>
      </c>
      <c r="C134" s="166" t="s">
        <v>152</v>
      </c>
      <c r="D134" s="213" t="s">
        <v>151</v>
      </c>
      <c r="E134" s="166" t="s">
        <v>155</v>
      </c>
      <c r="F134" s="213" t="s">
        <v>158</v>
      </c>
      <c r="G134" s="166" t="s">
        <v>161</v>
      </c>
      <c r="H134" s="213" t="s">
        <v>164</v>
      </c>
      <c r="I134" s="216">
        <f t="shared" si="37"/>
        <v>5.5750000000000002</v>
      </c>
      <c r="J134" s="248" t="str">
        <f t="shared" si="36"/>
        <v>A2_B2_C1_D1_E1_F1</v>
      </c>
      <c r="K134" s="66"/>
      <c r="L134" s="66"/>
      <c r="M134" s="66"/>
      <c r="N134" s="66"/>
    </row>
    <row r="135" spans="1:14">
      <c r="B135" s="166" t="s">
        <v>17</v>
      </c>
      <c r="C135" s="166" t="s">
        <v>152</v>
      </c>
      <c r="D135" s="213" t="s">
        <v>151</v>
      </c>
      <c r="E135" s="166" t="s">
        <v>155</v>
      </c>
      <c r="F135" s="213" t="s">
        <v>158</v>
      </c>
      <c r="G135" s="166" t="s">
        <v>161</v>
      </c>
      <c r="H135" s="213" t="s">
        <v>165</v>
      </c>
      <c r="I135" s="216">
        <f t="shared" si="37"/>
        <v>9.9209999999999994</v>
      </c>
      <c r="J135" s="248" t="str">
        <f t="shared" si="36"/>
        <v>A2_B2_C1_D1_E1_F2</v>
      </c>
      <c r="K135" s="66"/>
      <c r="L135" s="66"/>
      <c r="M135" s="66"/>
      <c r="N135" s="66"/>
    </row>
    <row r="136" spans="1:14">
      <c r="B136" s="166" t="s">
        <v>17</v>
      </c>
      <c r="C136" s="166" t="s">
        <v>152</v>
      </c>
      <c r="D136" s="213" t="s">
        <v>151</v>
      </c>
      <c r="E136" s="166" t="s">
        <v>155</v>
      </c>
      <c r="F136" s="213" t="s">
        <v>158</v>
      </c>
      <c r="G136" s="166" t="s">
        <v>162</v>
      </c>
      <c r="H136" s="213" t="s">
        <v>164</v>
      </c>
      <c r="I136" s="216">
        <f t="shared" si="37"/>
        <v>15.441000000000001</v>
      </c>
      <c r="J136" s="248" t="str">
        <f t="shared" si="36"/>
        <v>A2_B2_C1_D1_E2_F1</v>
      </c>
    </row>
    <row r="137" spans="1:14">
      <c r="B137" s="166" t="s">
        <v>17</v>
      </c>
      <c r="C137" s="166" t="s">
        <v>152</v>
      </c>
      <c r="D137" s="213" t="s">
        <v>151</v>
      </c>
      <c r="E137" s="166" t="s">
        <v>155</v>
      </c>
      <c r="F137" s="213" t="s">
        <v>158</v>
      </c>
      <c r="G137" s="166" t="s">
        <v>162</v>
      </c>
      <c r="H137" s="213" t="s">
        <v>165</v>
      </c>
      <c r="I137" s="216">
        <f t="shared" si="37"/>
        <v>13.593</v>
      </c>
      <c r="J137" s="248" t="str">
        <f t="shared" si="36"/>
        <v>A2_B2_C1_D1_E2_F2</v>
      </c>
    </row>
    <row r="138" spans="1:14">
      <c r="B138" s="166" t="s">
        <v>17</v>
      </c>
      <c r="C138" s="166" t="s">
        <v>152</v>
      </c>
      <c r="D138" s="213" t="s">
        <v>151</v>
      </c>
      <c r="E138" s="166" t="s">
        <v>155</v>
      </c>
      <c r="F138" s="213" t="s">
        <v>159</v>
      </c>
      <c r="G138" s="166" t="s">
        <v>161</v>
      </c>
      <c r="H138" s="213" t="s">
        <v>164</v>
      </c>
      <c r="I138" s="216">
        <f t="shared" si="37"/>
        <v>12.606</v>
      </c>
      <c r="J138" s="248" t="str">
        <f t="shared" si="36"/>
        <v>A2_B2_C1_D2_E1_F1</v>
      </c>
    </row>
    <row r="139" spans="1:14">
      <c r="B139" s="166" t="s">
        <v>17</v>
      </c>
      <c r="C139" s="166" t="s">
        <v>152</v>
      </c>
      <c r="D139" s="213" t="s">
        <v>151</v>
      </c>
      <c r="E139" s="166" t="s">
        <v>155</v>
      </c>
      <c r="F139" s="213" t="s">
        <v>159</v>
      </c>
      <c r="G139" s="166" t="s">
        <v>161</v>
      </c>
      <c r="H139" s="213" t="s">
        <v>165</v>
      </c>
      <c r="I139" s="216">
        <f t="shared" si="37"/>
        <v>14.596</v>
      </c>
      <c r="J139" s="248" t="str">
        <f t="shared" si="36"/>
        <v>A2_B2_C1_D2_E1_F2</v>
      </c>
    </row>
    <row r="140" spans="1:14">
      <c r="B140" s="166" t="s">
        <v>17</v>
      </c>
      <c r="C140" s="166" t="s">
        <v>152</v>
      </c>
      <c r="D140" s="213" t="s">
        <v>151</v>
      </c>
      <c r="E140" s="166" t="s">
        <v>155</v>
      </c>
      <c r="F140" s="213" t="s">
        <v>159</v>
      </c>
      <c r="G140" s="166" t="s">
        <v>162</v>
      </c>
      <c r="H140" s="213" t="s">
        <v>164</v>
      </c>
      <c r="I140" s="216">
        <f t="shared" si="37"/>
        <v>12.885999999999999</v>
      </c>
      <c r="J140" s="248" t="str">
        <f t="shared" si="36"/>
        <v>A2_B2_C1_D2_E2_F1</v>
      </c>
    </row>
    <row r="141" spans="1:14">
      <c r="B141" s="166" t="s">
        <v>17</v>
      </c>
      <c r="C141" s="166" t="s">
        <v>152</v>
      </c>
      <c r="D141" s="213" t="s">
        <v>151</v>
      </c>
      <c r="E141" s="166" t="s">
        <v>155</v>
      </c>
      <c r="F141" s="213" t="s">
        <v>159</v>
      </c>
      <c r="G141" s="166" t="s">
        <v>162</v>
      </c>
      <c r="H141" s="213" t="s">
        <v>165</v>
      </c>
      <c r="I141" s="216">
        <f t="shared" si="37"/>
        <v>12.872</v>
      </c>
      <c r="J141" s="248" t="str">
        <f t="shared" si="36"/>
        <v>A2_B2_C1_D2_E2_F2</v>
      </c>
    </row>
    <row r="142" spans="1:14">
      <c r="B142" s="166" t="s">
        <v>17</v>
      </c>
      <c r="C142" s="166" t="s">
        <v>152</v>
      </c>
      <c r="D142" s="213" t="s">
        <v>151</v>
      </c>
      <c r="E142" s="166" t="s">
        <v>156</v>
      </c>
      <c r="F142" s="213" t="s">
        <v>158</v>
      </c>
      <c r="G142" s="166" t="s">
        <v>161</v>
      </c>
      <c r="H142" s="213" t="s">
        <v>164</v>
      </c>
      <c r="I142" s="216">
        <f t="shared" si="37"/>
        <v>9.8640000000000008</v>
      </c>
      <c r="J142" s="248" t="str">
        <f t="shared" si="36"/>
        <v>A2_B2_C2_D1_E1_F1</v>
      </c>
    </row>
    <row r="143" spans="1:14">
      <c r="B143" s="166" t="s">
        <v>17</v>
      </c>
      <c r="C143" s="166" t="s">
        <v>152</v>
      </c>
      <c r="D143" s="213" t="s">
        <v>151</v>
      </c>
      <c r="E143" s="166" t="s">
        <v>156</v>
      </c>
      <c r="F143" s="213" t="s">
        <v>158</v>
      </c>
      <c r="G143" s="166" t="s">
        <v>161</v>
      </c>
      <c r="H143" s="213" t="s">
        <v>165</v>
      </c>
      <c r="I143" s="216">
        <f t="shared" si="37"/>
        <v>5.8230000000000004</v>
      </c>
      <c r="J143" s="248" t="str">
        <f t="shared" si="36"/>
        <v>A2_B2_C2_D1_E1_F2</v>
      </c>
    </row>
    <row r="144" spans="1:14">
      <c r="B144" s="166" t="s">
        <v>17</v>
      </c>
      <c r="C144" s="166" t="s">
        <v>152</v>
      </c>
      <c r="D144" s="213" t="s">
        <v>151</v>
      </c>
      <c r="E144" s="166" t="s">
        <v>156</v>
      </c>
      <c r="F144" s="213" t="s">
        <v>158</v>
      </c>
      <c r="G144" s="166" t="s">
        <v>162</v>
      </c>
      <c r="H144" s="213" t="s">
        <v>164</v>
      </c>
      <c r="I144" s="216">
        <f t="shared" si="37"/>
        <v>15.058999999999999</v>
      </c>
      <c r="J144" s="248" t="str">
        <f t="shared" si="36"/>
        <v>A2_B2_C2_D1_E2_F1</v>
      </c>
    </row>
    <row r="145" spans="2:10">
      <c r="B145" s="166" t="s">
        <v>17</v>
      </c>
      <c r="C145" s="166" t="s">
        <v>152</v>
      </c>
      <c r="D145" s="213" t="s">
        <v>151</v>
      </c>
      <c r="E145" s="166" t="s">
        <v>156</v>
      </c>
      <c r="F145" s="213" t="s">
        <v>158</v>
      </c>
      <c r="G145" s="166" t="s">
        <v>162</v>
      </c>
      <c r="H145" s="213" t="s">
        <v>165</v>
      </c>
      <c r="I145" s="216">
        <f t="shared" si="37"/>
        <v>6.1520000000000001</v>
      </c>
      <c r="J145" s="248" t="str">
        <f t="shared" si="36"/>
        <v>A2_B2_C2_D1_E2_F2</v>
      </c>
    </row>
    <row r="146" spans="2:10">
      <c r="B146" s="166" t="s">
        <v>17</v>
      </c>
      <c r="C146" s="166" t="s">
        <v>152</v>
      </c>
      <c r="D146" s="213" t="s">
        <v>151</v>
      </c>
      <c r="E146" s="166" t="s">
        <v>156</v>
      </c>
      <c r="F146" s="213" t="s">
        <v>159</v>
      </c>
      <c r="G146" s="166" t="s">
        <v>161</v>
      </c>
      <c r="H146" s="213" t="s">
        <v>164</v>
      </c>
      <c r="I146" s="216">
        <f t="shared" si="37"/>
        <v>10.911</v>
      </c>
      <c r="J146" s="248" t="str">
        <f t="shared" si="36"/>
        <v>A2_B2_C2_D2_E1_F1</v>
      </c>
    </row>
    <row r="147" spans="2:10">
      <c r="B147" s="166" t="s">
        <v>17</v>
      </c>
      <c r="C147" s="166" t="s">
        <v>152</v>
      </c>
      <c r="D147" s="213" t="s">
        <v>151</v>
      </c>
      <c r="E147" s="166" t="s">
        <v>156</v>
      </c>
      <c r="F147" s="213" t="s">
        <v>159</v>
      </c>
      <c r="G147" s="166" t="s">
        <v>161</v>
      </c>
      <c r="H147" s="213" t="s">
        <v>165</v>
      </c>
      <c r="I147" s="216">
        <f t="shared" si="37"/>
        <v>12.737</v>
      </c>
      <c r="J147" s="248" t="str">
        <f t="shared" si="36"/>
        <v>A2_B2_C2_D2_E1_F2</v>
      </c>
    </row>
    <row r="148" spans="2:10">
      <c r="B148" s="166" t="s">
        <v>17</v>
      </c>
      <c r="C148" s="166" t="s">
        <v>152</v>
      </c>
      <c r="D148" s="213" t="s">
        <v>151</v>
      </c>
      <c r="E148" s="166" t="s">
        <v>156</v>
      </c>
      <c r="F148" s="213" t="s">
        <v>159</v>
      </c>
      <c r="G148" s="166" t="s">
        <v>162</v>
      </c>
      <c r="H148" s="213" t="s">
        <v>164</v>
      </c>
      <c r="I148" s="216">
        <f t="shared" si="37"/>
        <v>5.8849999999999998</v>
      </c>
      <c r="J148" s="248" t="str">
        <f t="shared" si="36"/>
        <v>A2_B2_C2_D2_E2_F1</v>
      </c>
    </row>
    <row r="149" spans="2:10">
      <c r="B149" s="168" t="s">
        <v>17</v>
      </c>
      <c r="C149" s="168" t="s">
        <v>152</v>
      </c>
      <c r="D149" s="215" t="s">
        <v>151</v>
      </c>
      <c r="E149" s="168" t="s">
        <v>156</v>
      </c>
      <c r="F149" s="215" t="s">
        <v>159</v>
      </c>
      <c r="G149" s="168" t="s">
        <v>162</v>
      </c>
      <c r="H149" s="215" t="s">
        <v>165</v>
      </c>
      <c r="I149" s="217">
        <f t="shared" si="37"/>
        <v>11.24</v>
      </c>
      <c r="J149" s="249" t="str">
        <f t="shared" si="36"/>
        <v>A2_B2_C2_D2_E2_F2</v>
      </c>
    </row>
    <row r="150" spans="2:10">
      <c r="B150" s="167" t="s">
        <v>18</v>
      </c>
      <c r="C150" s="167" t="s">
        <v>149</v>
      </c>
      <c r="D150" s="164" t="s">
        <v>150</v>
      </c>
      <c r="E150" s="167" t="s">
        <v>155</v>
      </c>
      <c r="F150" s="164" t="s">
        <v>158</v>
      </c>
      <c r="G150" s="167" t="s">
        <v>161</v>
      </c>
      <c r="H150" s="207" t="s">
        <v>164</v>
      </c>
      <c r="I150" s="216" t="str">
        <f t="shared" ref="I150:I181" si="38">IF(J15="","",J15)</f>
        <v/>
      </c>
      <c r="J150" s="247" t="str">
        <f t="shared" si="36"/>
        <v/>
      </c>
    </row>
    <row r="151" spans="2:10">
      <c r="B151" s="167" t="s">
        <v>18</v>
      </c>
      <c r="C151" s="167" t="s">
        <v>149</v>
      </c>
      <c r="D151" s="164" t="s">
        <v>150</v>
      </c>
      <c r="E151" s="167" t="s">
        <v>155</v>
      </c>
      <c r="F151" s="164" t="s">
        <v>158</v>
      </c>
      <c r="G151" s="167" t="s">
        <v>161</v>
      </c>
      <c r="H151" s="207" t="s">
        <v>165</v>
      </c>
      <c r="I151" s="216" t="str">
        <f t="shared" si="38"/>
        <v/>
      </c>
      <c r="J151" s="248" t="str">
        <f t="shared" ref="J151:J214" si="39">IF(I151="","",CONCATENATE(C151,"_",D151,"_",E151,"_",F151,"_",G151,"_",H151))</f>
        <v/>
      </c>
    </row>
    <row r="152" spans="2:10">
      <c r="B152" s="167" t="s">
        <v>18</v>
      </c>
      <c r="C152" s="167" t="s">
        <v>149</v>
      </c>
      <c r="D152" s="164" t="s">
        <v>150</v>
      </c>
      <c r="E152" s="167" t="s">
        <v>155</v>
      </c>
      <c r="F152" s="164" t="s">
        <v>158</v>
      </c>
      <c r="G152" s="167" t="s">
        <v>162</v>
      </c>
      <c r="H152" s="207" t="s">
        <v>164</v>
      </c>
      <c r="I152" s="216" t="str">
        <f t="shared" si="38"/>
        <v/>
      </c>
      <c r="J152" s="248" t="str">
        <f t="shared" si="39"/>
        <v/>
      </c>
    </row>
    <row r="153" spans="2:10">
      <c r="B153" s="167" t="s">
        <v>18</v>
      </c>
      <c r="C153" s="167" t="s">
        <v>149</v>
      </c>
      <c r="D153" s="164" t="s">
        <v>150</v>
      </c>
      <c r="E153" s="167" t="s">
        <v>155</v>
      </c>
      <c r="F153" s="164" t="s">
        <v>158</v>
      </c>
      <c r="G153" s="167" t="s">
        <v>162</v>
      </c>
      <c r="H153" s="207" t="s">
        <v>165</v>
      </c>
      <c r="I153" s="216" t="str">
        <f t="shared" si="38"/>
        <v/>
      </c>
      <c r="J153" s="248" t="str">
        <f t="shared" si="39"/>
        <v/>
      </c>
    </row>
    <row r="154" spans="2:10">
      <c r="B154" s="167" t="s">
        <v>18</v>
      </c>
      <c r="C154" s="167" t="s">
        <v>149</v>
      </c>
      <c r="D154" s="164" t="s">
        <v>150</v>
      </c>
      <c r="E154" s="167" t="s">
        <v>155</v>
      </c>
      <c r="F154" s="164" t="s">
        <v>159</v>
      </c>
      <c r="G154" s="167" t="s">
        <v>161</v>
      </c>
      <c r="H154" s="207" t="s">
        <v>164</v>
      </c>
      <c r="I154" s="216" t="str">
        <f t="shared" si="38"/>
        <v/>
      </c>
      <c r="J154" s="248" t="str">
        <f t="shared" si="39"/>
        <v/>
      </c>
    </row>
    <row r="155" spans="2:10">
      <c r="B155" s="167" t="s">
        <v>18</v>
      </c>
      <c r="C155" s="167" t="s">
        <v>149</v>
      </c>
      <c r="D155" s="164" t="s">
        <v>150</v>
      </c>
      <c r="E155" s="167" t="s">
        <v>155</v>
      </c>
      <c r="F155" s="164" t="s">
        <v>159</v>
      </c>
      <c r="G155" s="167" t="s">
        <v>161</v>
      </c>
      <c r="H155" s="207" t="s">
        <v>165</v>
      </c>
      <c r="I155" s="216" t="str">
        <f t="shared" si="38"/>
        <v/>
      </c>
      <c r="J155" s="248" t="str">
        <f t="shared" si="39"/>
        <v/>
      </c>
    </row>
    <row r="156" spans="2:10">
      <c r="B156" s="167" t="s">
        <v>18</v>
      </c>
      <c r="C156" s="167" t="s">
        <v>149</v>
      </c>
      <c r="D156" s="164" t="s">
        <v>150</v>
      </c>
      <c r="E156" s="167" t="s">
        <v>155</v>
      </c>
      <c r="F156" s="164" t="s">
        <v>159</v>
      </c>
      <c r="G156" s="167" t="s">
        <v>162</v>
      </c>
      <c r="H156" s="207" t="s">
        <v>164</v>
      </c>
      <c r="I156" s="216" t="str">
        <f t="shared" si="38"/>
        <v/>
      </c>
      <c r="J156" s="248" t="str">
        <f t="shared" si="39"/>
        <v/>
      </c>
    </row>
    <row r="157" spans="2:10">
      <c r="B157" s="167" t="s">
        <v>18</v>
      </c>
      <c r="C157" s="167" t="s">
        <v>149</v>
      </c>
      <c r="D157" s="164" t="s">
        <v>150</v>
      </c>
      <c r="E157" s="167" t="s">
        <v>155</v>
      </c>
      <c r="F157" s="164" t="s">
        <v>159</v>
      </c>
      <c r="G157" s="167" t="s">
        <v>162</v>
      </c>
      <c r="H157" s="207" t="s">
        <v>165</v>
      </c>
      <c r="I157" s="216" t="str">
        <f t="shared" si="38"/>
        <v/>
      </c>
      <c r="J157" s="248" t="str">
        <f t="shared" si="39"/>
        <v/>
      </c>
    </row>
    <row r="158" spans="2:10">
      <c r="B158" s="167" t="s">
        <v>18</v>
      </c>
      <c r="C158" s="167" t="s">
        <v>149</v>
      </c>
      <c r="D158" s="164" t="s">
        <v>150</v>
      </c>
      <c r="E158" s="167" t="s">
        <v>156</v>
      </c>
      <c r="F158" s="164" t="s">
        <v>158</v>
      </c>
      <c r="G158" s="167" t="s">
        <v>161</v>
      </c>
      <c r="H158" s="207" t="s">
        <v>164</v>
      </c>
      <c r="I158" s="216" t="str">
        <f t="shared" si="38"/>
        <v/>
      </c>
      <c r="J158" s="248" t="str">
        <f t="shared" si="39"/>
        <v/>
      </c>
    </row>
    <row r="159" spans="2:10">
      <c r="B159" s="167" t="s">
        <v>18</v>
      </c>
      <c r="C159" s="167" t="s">
        <v>149</v>
      </c>
      <c r="D159" s="164" t="s">
        <v>150</v>
      </c>
      <c r="E159" s="167" t="s">
        <v>156</v>
      </c>
      <c r="F159" s="164" t="s">
        <v>158</v>
      </c>
      <c r="G159" s="167" t="s">
        <v>161</v>
      </c>
      <c r="H159" s="207" t="s">
        <v>165</v>
      </c>
      <c r="I159" s="216" t="str">
        <f t="shared" si="38"/>
        <v/>
      </c>
      <c r="J159" s="248" t="str">
        <f t="shared" si="39"/>
        <v/>
      </c>
    </row>
    <row r="160" spans="2:10">
      <c r="B160" s="167" t="s">
        <v>18</v>
      </c>
      <c r="C160" s="167" t="s">
        <v>149</v>
      </c>
      <c r="D160" s="164" t="s">
        <v>150</v>
      </c>
      <c r="E160" s="167" t="s">
        <v>156</v>
      </c>
      <c r="F160" s="164" t="s">
        <v>158</v>
      </c>
      <c r="G160" s="167" t="s">
        <v>162</v>
      </c>
      <c r="H160" s="207" t="s">
        <v>164</v>
      </c>
      <c r="I160" s="216" t="str">
        <f t="shared" si="38"/>
        <v/>
      </c>
      <c r="J160" s="248" t="str">
        <f t="shared" si="39"/>
        <v/>
      </c>
    </row>
    <row r="161" spans="2:10">
      <c r="B161" s="167" t="s">
        <v>18</v>
      </c>
      <c r="C161" s="167" t="s">
        <v>149</v>
      </c>
      <c r="D161" s="164" t="s">
        <v>150</v>
      </c>
      <c r="E161" s="167" t="s">
        <v>156</v>
      </c>
      <c r="F161" s="164" t="s">
        <v>158</v>
      </c>
      <c r="G161" s="167" t="s">
        <v>162</v>
      </c>
      <c r="H161" s="207" t="s">
        <v>165</v>
      </c>
      <c r="I161" s="216" t="str">
        <f t="shared" si="38"/>
        <v/>
      </c>
      <c r="J161" s="248" t="str">
        <f t="shared" si="39"/>
        <v/>
      </c>
    </row>
    <row r="162" spans="2:10">
      <c r="B162" s="167" t="s">
        <v>18</v>
      </c>
      <c r="C162" s="167" t="s">
        <v>149</v>
      </c>
      <c r="D162" s="164" t="s">
        <v>150</v>
      </c>
      <c r="E162" s="167" t="s">
        <v>156</v>
      </c>
      <c r="F162" s="164" t="s">
        <v>159</v>
      </c>
      <c r="G162" s="167" t="s">
        <v>161</v>
      </c>
      <c r="H162" s="207" t="s">
        <v>164</v>
      </c>
      <c r="I162" s="216" t="str">
        <f t="shared" si="38"/>
        <v/>
      </c>
      <c r="J162" s="248" t="str">
        <f t="shared" si="39"/>
        <v/>
      </c>
    </row>
    <row r="163" spans="2:10">
      <c r="B163" s="167" t="s">
        <v>18</v>
      </c>
      <c r="C163" s="167" t="s">
        <v>149</v>
      </c>
      <c r="D163" s="164" t="s">
        <v>150</v>
      </c>
      <c r="E163" s="167" t="s">
        <v>156</v>
      </c>
      <c r="F163" s="164" t="s">
        <v>159</v>
      </c>
      <c r="G163" s="167" t="s">
        <v>161</v>
      </c>
      <c r="H163" s="207" t="s">
        <v>165</v>
      </c>
      <c r="I163" s="216" t="str">
        <f t="shared" si="38"/>
        <v/>
      </c>
      <c r="J163" s="248" t="str">
        <f t="shared" si="39"/>
        <v/>
      </c>
    </row>
    <row r="164" spans="2:10">
      <c r="B164" s="167" t="s">
        <v>18</v>
      </c>
      <c r="C164" s="167" t="s">
        <v>149</v>
      </c>
      <c r="D164" s="164" t="s">
        <v>150</v>
      </c>
      <c r="E164" s="167" t="s">
        <v>156</v>
      </c>
      <c r="F164" s="164" t="s">
        <v>159</v>
      </c>
      <c r="G164" s="167" t="s">
        <v>162</v>
      </c>
      <c r="H164" s="207" t="s">
        <v>164</v>
      </c>
      <c r="I164" s="216" t="str">
        <f t="shared" si="38"/>
        <v/>
      </c>
      <c r="J164" s="248" t="str">
        <f t="shared" si="39"/>
        <v/>
      </c>
    </row>
    <row r="165" spans="2:10">
      <c r="B165" s="167" t="s">
        <v>18</v>
      </c>
      <c r="C165" s="167" t="s">
        <v>149</v>
      </c>
      <c r="D165" s="164" t="s">
        <v>150</v>
      </c>
      <c r="E165" s="167" t="s">
        <v>156</v>
      </c>
      <c r="F165" s="207" t="s">
        <v>159</v>
      </c>
      <c r="G165" s="166" t="s">
        <v>162</v>
      </c>
      <c r="H165" s="207" t="s">
        <v>165</v>
      </c>
      <c r="I165" s="216" t="str">
        <f t="shared" si="38"/>
        <v/>
      </c>
      <c r="J165" s="248" t="str">
        <f t="shared" si="39"/>
        <v/>
      </c>
    </row>
    <row r="166" spans="2:10">
      <c r="B166" s="167" t="s">
        <v>18</v>
      </c>
      <c r="C166" s="167" t="s">
        <v>149</v>
      </c>
      <c r="D166" s="164" t="s">
        <v>151</v>
      </c>
      <c r="E166" s="167" t="s">
        <v>155</v>
      </c>
      <c r="F166" s="207" t="s">
        <v>158</v>
      </c>
      <c r="G166" s="166" t="s">
        <v>161</v>
      </c>
      <c r="H166" s="207" t="s">
        <v>164</v>
      </c>
      <c r="I166" s="216" t="str">
        <f t="shared" si="38"/>
        <v/>
      </c>
      <c r="J166" s="248" t="str">
        <f t="shared" si="39"/>
        <v/>
      </c>
    </row>
    <row r="167" spans="2:10">
      <c r="B167" s="167" t="s">
        <v>18</v>
      </c>
      <c r="C167" s="167" t="s">
        <v>149</v>
      </c>
      <c r="D167" s="164" t="s">
        <v>151</v>
      </c>
      <c r="E167" s="167" t="s">
        <v>155</v>
      </c>
      <c r="F167" s="207" t="s">
        <v>158</v>
      </c>
      <c r="G167" s="166" t="s">
        <v>161</v>
      </c>
      <c r="H167" s="207" t="s">
        <v>165</v>
      </c>
      <c r="I167" s="216" t="str">
        <f t="shared" si="38"/>
        <v/>
      </c>
      <c r="J167" s="248" t="str">
        <f t="shared" si="39"/>
        <v/>
      </c>
    </row>
    <row r="168" spans="2:10">
      <c r="B168" s="167" t="s">
        <v>18</v>
      </c>
      <c r="C168" s="167" t="s">
        <v>149</v>
      </c>
      <c r="D168" s="164" t="s">
        <v>151</v>
      </c>
      <c r="E168" s="167" t="s">
        <v>155</v>
      </c>
      <c r="F168" s="207" t="s">
        <v>158</v>
      </c>
      <c r="G168" s="166" t="s">
        <v>162</v>
      </c>
      <c r="H168" s="207" t="s">
        <v>164</v>
      </c>
      <c r="I168" s="216" t="str">
        <f t="shared" si="38"/>
        <v/>
      </c>
      <c r="J168" s="248" t="str">
        <f t="shared" si="39"/>
        <v/>
      </c>
    </row>
    <row r="169" spans="2:10">
      <c r="B169" s="166" t="s">
        <v>18</v>
      </c>
      <c r="C169" s="166" t="s">
        <v>149</v>
      </c>
      <c r="D169" s="207" t="s">
        <v>151</v>
      </c>
      <c r="E169" s="167" t="s">
        <v>155</v>
      </c>
      <c r="F169" s="207" t="s">
        <v>158</v>
      </c>
      <c r="G169" s="166" t="s">
        <v>162</v>
      </c>
      <c r="H169" s="207" t="s">
        <v>165</v>
      </c>
      <c r="I169" s="216" t="str">
        <f t="shared" si="38"/>
        <v/>
      </c>
      <c r="J169" s="248" t="str">
        <f t="shared" si="39"/>
        <v/>
      </c>
    </row>
    <row r="170" spans="2:10">
      <c r="B170" s="166" t="s">
        <v>18</v>
      </c>
      <c r="C170" s="166" t="s">
        <v>149</v>
      </c>
      <c r="D170" s="207" t="s">
        <v>151</v>
      </c>
      <c r="E170" s="166" t="s">
        <v>155</v>
      </c>
      <c r="F170" s="207" t="s">
        <v>159</v>
      </c>
      <c r="G170" s="166" t="s">
        <v>161</v>
      </c>
      <c r="H170" s="207" t="s">
        <v>164</v>
      </c>
      <c r="I170" s="216" t="str">
        <f t="shared" si="38"/>
        <v/>
      </c>
      <c r="J170" s="248" t="str">
        <f t="shared" si="39"/>
        <v/>
      </c>
    </row>
    <row r="171" spans="2:10">
      <c r="B171" s="218" t="s">
        <v>18</v>
      </c>
      <c r="C171" s="218" t="s">
        <v>149</v>
      </c>
      <c r="D171" s="214" t="s">
        <v>151</v>
      </c>
      <c r="E171" s="218" t="s">
        <v>155</v>
      </c>
      <c r="F171" s="214" t="s">
        <v>159</v>
      </c>
      <c r="G171" s="218" t="s">
        <v>161</v>
      </c>
      <c r="H171" s="214" t="s">
        <v>165</v>
      </c>
      <c r="I171" s="216" t="str">
        <f t="shared" si="38"/>
        <v/>
      </c>
      <c r="J171" s="248" t="str">
        <f t="shared" si="39"/>
        <v/>
      </c>
    </row>
    <row r="172" spans="2:10">
      <c r="B172" s="222" t="s">
        <v>18</v>
      </c>
      <c r="C172" s="222" t="s">
        <v>149</v>
      </c>
      <c r="D172" s="164" t="s">
        <v>151</v>
      </c>
      <c r="E172" s="220" t="s">
        <v>155</v>
      </c>
      <c r="F172" s="208" t="s">
        <v>159</v>
      </c>
      <c r="G172" s="219" t="s">
        <v>162</v>
      </c>
      <c r="H172" s="209" t="s">
        <v>164</v>
      </c>
      <c r="I172" s="216" t="str">
        <f t="shared" si="38"/>
        <v/>
      </c>
      <c r="J172" s="248" t="str">
        <f t="shared" si="39"/>
        <v/>
      </c>
    </row>
    <row r="173" spans="2:10">
      <c r="B173" s="222" t="s">
        <v>18</v>
      </c>
      <c r="C173" s="222" t="s">
        <v>149</v>
      </c>
      <c r="D173" s="164" t="s">
        <v>151</v>
      </c>
      <c r="E173" s="220" t="s">
        <v>155</v>
      </c>
      <c r="F173" s="208" t="s">
        <v>159</v>
      </c>
      <c r="G173" s="219" t="s">
        <v>162</v>
      </c>
      <c r="H173" s="209" t="s">
        <v>165</v>
      </c>
      <c r="I173" s="216" t="str">
        <f t="shared" si="38"/>
        <v/>
      </c>
      <c r="J173" s="248" t="str">
        <f t="shared" si="39"/>
        <v/>
      </c>
    </row>
    <row r="174" spans="2:10">
      <c r="B174" s="222" t="s">
        <v>18</v>
      </c>
      <c r="C174" s="222" t="s">
        <v>149</v>
      </c>
      <c r="D174" s="164" t="s">
        <v>151</v>
      </c>
      <c r="E174" s="220" t="s">
        <v>156</v>
      </c>
      <c r="F174" s="208" t="s">
        <v>158</v>
      </c>
      <c r="G174" s="219" t="s">
        <v>161</v>
      </c>
      <c r="H174" s="209" t="s">
        <v>164</v>
      </c>
      <c r="I174" s="216" t="str">
        <f t="shared" si="38"/>
        <v/>
      </c>
      <c r="J174" s="248" t="str">
        <f t="shared" si="39"/>
        <v/>
      </c>
    </row>
    <row r="175" spans="2:10">
      <c r="B175" s="222" t="s">
        <v>18</v>
      </c>
      <c r="C175" s="222" t="s">
        <v>149</v>
      </c>
      <c r="D175" s="164" t="s">
        <v>151</v>
      </c>
      <c r="E175" s="220" t="s">
        <v>156</v>
      </c>
      <c r="F175" s="208" t="s">
        <v>158</v>
      </c>
      <c r="G175" s="219" t="s">
        <v>161</v>
      </c>
      <c r="H175" s="209" t="s">
        <v>165</v>
      </c>
      <c r="I175" s="216" t="str">
        <f t="shared" si="38"/>
        <v/>
      </c>
      <c r="J175" s="248" t="str">
        <f t="shared" si="39"/>
        <v/>
      </c>
    </row>
    <row r="176" spans="2:10">
      <c r="B176" s="222" t="s">
        <v>18</v>
      </c>
      <c r="C176" s="222" t="s">
        <v>149</v>
      </c>
      <c r="D176" s="164" t="s">
        <v>151</v>
      </c>
      <c r="E176" s="220" t="s">
        <v>156</v>
      </c>
      <c r="F176" s="208" t="s">
        <v>158</v>
      </c>
      <c r="G176" s="219" t="s">
        <v>162</v>
      </c>
      <c r="H176" s="209" t="s">
        <v>164</v>
      </c>
      <c r="I176" s="216" t="str">
        <f t="shared" si="38"/>
        <v/>
      </c>
      <c r="J176" s="248" t="str">
        <f t="shared" si="39"/>
        <v/>
      </c>
    </row>
    <row r="177" spans="2:10">
      <c r="B177" s="222" t="s">
        <v>18</v>
      </c>
      <c r="C177" s="222" t="s">
        <v>149</v>
      </c>
      <c r="D177" s="164" t="s">
        <v>151</v>
      </c>
      <c r="E177" s="220" t="s">
        <v>156</v>
      </c>
      <c r="F177" s="208" t="s">
        <v>158</v>
      </c>
      <c r="G177" s="219" t="s">
        <v>162</v>
      </c>
      <c r="H177" s="209" t="s">
        <v>165</v>
      </c>
      <c r="I177" s="216" t="str">
        <f t="shared" si="38"/>
        <v/>
      </c>
      <c r="J177" s="248" t="str">
        <f t="shared" si="39"/>
        <v/>
      </c>
    </row>
    <row r="178" spans="2:10">
      <c r="B178" s="223" t="s">
        <v>18</v>
      </c>
      <c r="C178" s="223" t="s">
        <v>149</v>
      </c>
      <c r="D178" s="210" t="s">
        <v>151</v>
      </c>
      <c r="E178" s="221" t="s">
        <v>156</v>
      </c>
      <c r="F178" s="211" t="s">
        <v>159</v>
      </c>
      <c r="G178" s="170" t="s">
        <v>161</v>
      </c>
      <c r="H178" s="212" t="s">
        <v>164</v>
      </c>
      <c r="I178" s="216" t="str">
        <f t="shared" si="38"/>
        <v/>
      </c>
      <c r="J178" s="248" t="str">
        <f t="shared" si="39"/>
        <v/>
      </c>
    </row>
    <row r="179" spans="2:10">
      <c r="B179" s="223" t="s">
        <v>18</v>
      </c>
      <c r="C179" s="223" t="s">
        <v>149</v>
      </c>
      <c r="D179" s="210" t="s">
        <v>151</v>
      </c>
      <c r="E179" s="221" t="s">
        <v>156</v>
      </c>
      <c r="F179" s="211" t="s">
        <v>159</v>
      </c>
      <c r="G179" s="170" t="s">
        <v>161</v>
      </c>
      <c r="H179" s="212" t="s">
        <v>165</v>
      </c>
      <c r="I179" s="216" t="str">
        <f t="shared" si="38"/>
        <v/>
      </c>
      <c r="J179" s="248" t="str">
        <f t="shared" si="39"/>
        <v/>
      </c>
    </row>
    <row r="180" spans="2:10">
      <c r="B180" s="223" t="s">
        <v>18</v>
      </c>
      <c r="C180" s="223" t="s">
        <v>149</v>
      </c>
      <c r="D180" s="210" t="s">
        <v>151</v>
      </c>
      <c r="E180" s="221" t="s">
        <v>156</v>
      </c>
      <c r="F180" s="211" t="s">
        <v>159</v>
      </c>
      <c r="G180" s="170" t="s">
        <v>162</v>
      </c>
      <c r="H180" s="212" t="s">
        <v>164</v>
      </c>
      <c r="I180" s="216" t="str">
        <f t="shared" si="38"/>
        <v/>
      </c>
      <c r="J180" s="248" t="str">
        <f t="shared" si="39"/>
        <v/>
      </c>
    </row>
    <row r="181" spans="2:10">
      <c r="B181" s="223" t="s">
        <v>18</v>
      </c>
      <c r="C181" s="223" t="s">
        <v>149</v>
      </c>
      <c r="D181" s="210" t="s">
        <v>151</v>
      </c>
      <c r="E181" s="221" t="s">
        <v>156</v>
      </c>
      <c r="F181" s="211" t="s">
        <v>159</v>
      </c>
      <c r="G181" s="170" t="s">
        <v>162</v>
      </c>
      <c r="H181" s="212" t="s">
        <v>165</v>
      </c>
      <c r="I181" s="216" t="str">
        <f t="shared" si="38"/>
        <v/>
      </c>
      <c r="J181" s="248" t="str">
        <f t="shared" si="39"/>
        <v/>
      </c>
    </row>
    <row r="182" spans="2:10">
      <c r="B182" s="223" t="s">
        <v>18</v>
      </c>
      <c r="C182" s="223" t="s">
        <v>152</v>
      </c>
      <c r="D182" s="210" t="s">
        <v>150</v>
      </c>
      <c r="E182" s="221" t="s">
        <v>155</v>
      </c>
      <c r="F182" s="211" t="s">
        <v>158</v>
      </c>
      <c r="G182" s="170" t="s">
        <v>161</v>
      </c>
      <c r="H182" s="212" t="s">
        <v>164</v>
      </c>
      <c r="I182" s="216" t="str">
        <f t="shared" ref="I182:I213" si="40">IF(J47="","",J47)</f>
        <v/>
      </c>
      <c r="J182" s="248" t="str">
        <f t="shared" si="39"/>
        <v/>
      </c>
    </row>
    <row r="183" spans="2:10">
      <c r="B183" s="223" t="s">
        <v>18</v>
      </c>
      <c r="C183" s="223" t="s">
        <v>152</v>
      </c>
      <c r="D183" s="210" t="s">
        <v>150</v>
      </c>
      <c r="E183" s="221" t="s">
        <v>155</v>
      </c>
      <c r="F183" s="211" t="s">
        <v>158</v>
      </c>
      <c r="G183" s="170" t="s">
        <v>161</v>
      </c>
      <c r="H183" s="212" t="s">
        <v>165</v>
      </c>
      <c r="I183" s="216" t="str">
        <f t="shared" si="40"/>
        <v/>
      </c>
      <c r="J183" s="248" t="str">
        <f t="shared" si="39"/>
        <v/>
      </c>
    </row>
    <row r="184" spans="2:10">
      <c r="B184" s="223" t="s">
        <v>18</v>
      </c>
      <c r="C184" s="223" t="s">
        <v>152</v>
      </c>
      <c r="D184" s="210" t="s">
        <v>150</v>
      </c>
      <c r="E184" s="221" t="s">
        <v>155</v>
      </c>
      <c r="F184" s="211" t="s">
        <v>158</v>
      </c>
      <c r="G184" s="170" t="s">
        <v>162</v>
      </c>
      <c r="H184" s="212" t="s">
        <v>164</v>
      </c>
      <c r="I184" s="216" t="str">
        <f t="shared" si="40"/>
        <v/>
      </c>
      <c r="J184" s="248" t="str">
        <f t="shared" si="39"/>
        <v/>
      </c>
    </row>
    <row r="185" spans="2:10">
      <c r="B185" s="223" t="s">
        <v>18</v>
      </c>
      <c r="C185" s="223" t="s">
        <v>152</v>
      </c>
      <c r="D185" s="210" t="s">
        <v>150</v>
      </c>
      <c r="E185" s="221" t="s">
        <v>155</v>
      </c>
      <c r="F185" s="211" t="s">
        <v>158</v>
      </c>
      <c r="G185" s="170" t="s">
        <v>162</v>
      </c>
      <c r="H185" s="212" t="s">
        <v>165</v>
      </c>
      <c r="I185" s="216" t="str">
        <f t="shared" si="40"/>
        <v/>
      </c>
      <c r="J185" s="248" t="str">
        <f t="shared" si="39"/>
        <v/>
      </c>
    </row>
    <row r="186" spans="2:10">
      <c r="B186" s="223" t="s">
        <v>18</v>
      </c>
      <c r="C186" s="223" t="s">
        <v>152</v>
      </c>
      <c r="D186" s="210" t="s">
        <v>150</v>
      </c>
      <c r="E186" s="221" t="s">
        <v>155</v>
      </c>
      <c r="F186" s="211" t="s">
        <v>159</v>
      </c>
      <c r="G186" s="170" t="s">
        <v>161</v>
      </c>
      <c r="H186" s="212" t="s">
        <v>164</v>
      </c>
      <c r="I186" s="216" t="str">
        <f t="shared" si="40"/>
        <v/>
      </c>
      <c r="J186" s="248" t="str">
        <f t="shared" si="39"/>
        <v/>
      </c>
    </row>
    <row r="187" spans="2:10">
      <c r="B187" s="223" t="s">
        <v>18</v>
      </c>
      <c r="C187" s="223" t="s">
        <v>152</v>
      </c>
      <c r="D187" s="210" t="s">
        <v>150</v>
      </c>
      <c r="E187" s="221" t="s">
        <v>155</v>
      </c>
      <c r="F187" s="211" t="s">
        <v>159</v>
      </c>
      <c r="G187" s="170" t="s">
        <v>161</v>
      </c>
      <c r="H187" s="212" t="s">
        <v>165</v>
      </c>
      <c r="I187" s="216" t="str">
        <f t="shared" si="40"/>
        <v/>
      </c>
      <c r="J187" s="248" t="str">
        <f t="shared" si="39"/>
        <v/>
      </c>
    </row>
    <row r="188" spans="2:10">
      <c r="B188" s="223" t="s">
        <v>18</v>
      </c>
      <c r="C188" s="223" t="s">
        <v>152</v>
      </c>
      <c r="D188" s="210" t="s">
        <v>150</v>
      </c>
      <c r="E188" s="221" t="s">
        <v>155</v>
      </c>
      <c r="F188" s="211" t="s">
        <v>159</v>
      </c>
      <c r="G188" s="170" t="s">
        <v>162</v>
      </c>
      <c r="H188" s="212" t="s">
        <v>164</v>
      </c>
      <c r="I188" s="216" t="str">
        <f t="shared" si="40"/>
        <v/>
      </c>
      <c r="J188" s="248" t="str">
        <f t="shared" si="39"/>
        <v/>
      </c>
    </row>
    <row r="189" spans="2:10">
      <c r="B189" s="223" t="s">
        <v>18</v>
      </c>
      <c r="C189" s="223" t="s">
        <v>152</v>
      </c>
      <c r="D189" s="210" t="s">
        <v>150</v>
      </c>
      <c r="E189" s="221" t="s">
        <v>155</v>
      </c>
      <c r="F189" s="211" t="s">
        <v>159</v>
      </c>
      <c r="G189" s="170" t="s">
        <v>162</v>
      </c>
      <c r="H189" s="212" t="s">
        <v>165</v>
      </c>
      <c r="I189" s="216" t="str">
        <f t="shared" si="40"/>
        <v/>
      </c>
      <c r="J189" s="248" t="str">
        <f t="shared" si="39"/>
        <v/>
      </c>
    </row>
    <row r="190" spans="2:10">
      <c r="B190" s="223" t="s">
        <v>18</v>
      </c>
      <c r="C190" s="223" t="s">
        <v>152</v>
      </c>
      <c r="D190" s="210" t="s">
        <v>150</v>
      </c>
      <c r="E190" s="221" t="s">
        <v>156</v>
      </c>
      <c r="F190" s="211" t="s">
        <v>158</v>
      </c>
      <c r="G190" s="170" t="s">
        <v>161</v>
      </c>
      <c r="H190" s="212" t="s">
        <v>164</v>
      </c>
      <c r="I190" s="216" t="str">
        <f t="shared" si="40"/>
        <v/>
      </c>
      <c r="J190" s="248" t="str">
        <f t="shared" si="39"/>
        <v/>
      </c>
    </row>
    <row r="191" spans="2:10">
      <c r="B191" s="223" t="s">
        <v>18</v>
      </c>
      <c r="C191" s="223" t="s">
        <v>152</v>
      </c>
      <c r="D191" s="210" t="s">
        <v>150</v>
      </c>
      <c r="E191" s="221" t="s">
        <v>156</v>
      </c>
      <c r="F191" s="211" t="s">
        <v>158</v>
      </c>
      <c r="G191" s="170" t="s">
        <v>161</v>
      </c>
      <c r="H191" s="212" t="s">
        <v>165</v>
      </c>
      <c r="I191" s="216" t="str">
        <f t="shared" si="40"/>
        <v/>
      </c>
      <c r="J191" s="248" t="str">
        <f t="shared" si="39"/>
        <v/>
      </c>
    </row>
    <row r="192" spans="2:10">
      <c r="B192" s="223" t="s">
        <v>18</v>
      </c>
      <c r="C192" s="223" t="s">
        <v>152</v>
      </c>
      <c r="D192" s="210" t="s">
        <v>150</v>
      </c>
      <c r="E192" s="221" t="s">
        <v>156</v>
      </c>
      <c r="F192" s="211" t="s">
        <v>158</v>
      </c>
      <c r="G192" s="170" t="s">
        <v>162</v>
      </c>
      <c r="H192" s="212" t="s">
        <v>164</v>
      </c>
      <c r="I192" s="216" t="str">
        <f t="shared" si="40"/>
        <v/>
      </c>
      <c r="J192" s="248" t="str">
        <f t="shared" si="39"/>
        <v/>
      </c>
    </row>
    <row r="193" spans="2:10">
      <c r="B193" s="166" t="s">
        <v>18</v>
      </c>
      <c r="C193" s="166" t="s">
        <v>152</v>
      </c>
      <c r="D193" s="164" t="s">
        <v>150</v>
      </c>
      <c r="E193" s="220" t="s">
        <v>156</v>
      </c>
      <c r="F193" s="208" t="s">
        <v>158</v>
      </c>
      <c r="G193" s="166" t="s">
        <v>162</v>
      </c>
      <c r="H193" s="207" t="s">
        <v>165</v>
      </c>
      <c r="I193" s="216" t="str">
        <f t="shared" si="40"/>
        <v/>
      </c>
      <c r="J193" s="248" t="str">
        <f t="shared" si="39"/>
        <v/>
      </c>
    </row>
    <row r="194" spans="2:10">
      <c r="B194" s="166" t="s">
        <v>18</v>
      </c>
      <c r="C194" s="166" t="s">
        <v>152</v>
      </c>
      <c r="D194" s="164" t="s">
        <v>150</v>
      </c>
      <c r="E194" s="220" t="s">
        <v>156</v>
      </c>
      <c r="F194" s="208" t="s">
        <v>159</v>
      </c>
      <c r="G194" s="166" t="s">
        <v>161</v>
      </c>
      <c r="H194" s="207" t="s">
        <v>164</v>
      </c>
      <c r="I194" s="216" t="str">
        <f t="shared" si="40"/>
        <v/>
      </c>
      <c r="J194" s="248" t="str">
        <f t="shared" si="39"/>
        <v/>
      </c>
    </row>
    <row r="195" spans="2:10">
      <c r="B195" s="166" t="s">
        <v>18</v>
      </c>
      <c r="C195" s="166" t="s">
        <v>152</v>
      </c>
      <c r="D195" s="207" t="s">
        <v>150</v>
      </c>
      <c r="E195" s="166" t="s">
        <v>156</v>
      </c>
      <c r="F195" s="207" t="s">
        <v>159</v>
      </c>
      <c r="G195" s="166" t="s">
        <v>161</v>
      </c>
      <c r="H195" s="207" t="s">
        <v>165</v>
      </c>
      <c r="I195" s="216" t="str">
        <f t="shared" si="40"/>
        <v/>
      </c>
      <c r="J195" s="248" t="str">
        <f t="shared" si="39"/>
        <v/>
      </c>
    </row>
    <row r="196" spans="2:10">
      <c r="B196" s="166" t="s">
        <v>18</v>
      </c>
      <c r="C196" s="166" t="s">
        <v>152</v>
      </c>
      <c r="D196" s="213" t="s">
        <v>150</v>
      </c>
      <c r="E196" s="166" t="s">
        <v>156</v>
      </c>
      <c r="F196" s="213" t="s">
        <v>159</v>
      </c>
      <c r="G196" s="166" t="s">
        <v>162</v>
      </c>
      <c r="H196" s="213" t="s">
        <v>164</v>
      </c>
      <c r="I196" s="216" t="str">
        <f t="shared" si="40"/>
        <v/>
      </c>
      <c r="J196" s="248" t="str">
        <f t="shared" si="39"/>
        <v/>
      </c>
    </row>
    <row r="197" spans="2:10">
      <c r="B197" s="166" t="s">
        <v>18</v>
      </c>
      <c r="C197" s="166" t="s">
        <v>152</v>
      </c>
      <c r="D197" s="213" t="s">
        <v>150</v>
      </c>
      <c r="E197" s="166" t="s">
        <v>156</v>
      </c>
      <c r="F197" s="213" t="s">
        <v>159</v>
      </c>
      <c r="G197" s="166" t="s">
        <v>162</v>
      </c>
      <c r="H197" s="213" t="s">
        <v>165</v>
      </c>
      <c r="I197" s="216" t="str">
        <f t="shared" si="40"/>
        <v/>
      </c>
      <c r="J197" s="248" t="str">
        <f t="shared" si="39"/>
        <v/>
      </c>
    </row>
    <row r="198" spans="2:10">
      <c r="B198" s="166" t="s">
        <v>18</v>
      </c>
      <c r="C198" s="166" t="s">
        <v>152</v>
      </c>
      <c r="D198" s="213" t="s">
        <v>151</v>
      </c>
      <c r="E198" s="166" t="s">
        <v>155</v>
      </c>
      <c r="F198" s="213" t="s">
        <v>158</v>
      </c>
      <c r="G198" s="166" t="s">
        <v>161</v>
      </c>
      <c r="H198" s="213" t="s">
        <v>164</v>
      </c>
      <c r="I198" s="216" t="str">
        <f t="shared" si="40"/>
        <v/>
      </c>
      <c r="J198" s="248" t="str">
        <f t="shared" si="39"/>
        <v/>
      </c>
    </row>
    <row r="199" spans="2:10">
      <c r="B199" s="166" t="s">
        <v>18</v>
      </c>
      <c r="C199" s="166" t="s">
        <v>152</v>
      </c>
      <c r="D199" s="213" t="s">
        <v>151</v>
      </c>
      <c r="E199" s="166" t="s">
        <v>155</v>
      </c>
      <c r="F199" s="213" t="s">
        <v>158</v>
      </c>
      <c r="G199" s="166" t="s">
        <v>161</v>
      </c>
      <c r="H199" s="213" t="s">
        <v>165</v>
      </c>
      <c r="I199" s="216" t="str">
        <f t="shared" si="40"/>
        <v/>
      </c>
      <c r="J199" s="248" t="str">
        <f t="shared" si="39"/>
        <v/>
      </c>
    </row>
    <row r="200" spans="2:10">
      <c r="B200" s="166" t="s">
        <v>18</v>
      </c>
      <c r="C200" s="166" t="s">
        <v>152</v>
      </c>
      <c r="D200" s="213" t="s">
        <v>151</v>
      </c>
      <c r="E200" s="166" t="s">
        <v>155</v>
      </c>
      <c r="F200" s="213" t="s">
        <v>158</v>
      </c>
      <c r="G200" s="166" t="s">
        <v>162</v>
      </c>
      <c r="H200" s="213" t="s">
        <v>164</v>
      </c>
      <c r="I200" s="216" t="str">
        <f t="shared" si="40"/>
        <v/>
      </c>
      <c r="J200" s="248" t="str">
        <f t="shared" si="39"/>
        <v/>
      </c>
    </row>
    <row r="201" spans="2:10">
      <c r="B201" s="166" t="s">
        <v>18</v>
      </c>
      <c r="C201" s="166" t="s">
        <v>152</v>
      </c>
      <c r="D201" s="213" t="s">
        <v>151</v>
      </c>
      <c r="E201" s="166" t="s">
        <v>155</v>
      </c>
      <c r="F201" s="213" t="s">
        <v>158</v>
      </c>
      <c r="G201" s="166" t="s">
        <v>162</v>
      </c>
      <c r="H201" s="213" t="s">
        <v>165</v>
      </c>
      <c r="I201" s="216" t="str">
        <f t="shared" si="40"/>
        <v/>
      </c>
      <c r="J201" s="248" t="str">
        <f t="shared" si="39"/>
        <v/>
      </c>
    </row>
    <row r="202" spans="2:10">
      <c r="B202" s="166" t="s">
        <v>18</v>
      </c>
      <c r="C202" s="166" t="s">
        <v>152</v>
      </c>
      <c r="D202" s="213" t="s">
        <v>151</v>
      </c>
      <c r="E202" s="166" t="s">
        <v>155</v>
      </c>
      <c r="F202" s="213" t="s">
        <v>159</v>
      </c>
      <c r="G202" s="166" t="s">
        <v>161</v>
      </c>
      <c r="H202" s="213" t="s">
        <v>164</v>
      </c>
      <c r="I202" s="216" t="str">
        <f t="shared" si="40"/>
        <v/>
      </c>
      <c r="J202" s="248" t="str">
        <f t="shared" si="39"/>
        <v/>
      </c>
    </row>
    <row r="203" spans="2:10">
      <c r="B203" s="166" t="s">
        <v>18</v>
      </c>
      <c r="C203" s="166" t="s">
        <v>152</v>
      </c>
      <c r="D203" s="213" t="s">
        <v>151</v>
      </c>
      <c r="E203" s="166" t="s">
        <v>155</v>
      </c>
      <c r="F203" s="213" t="s">
        <v>159</v>
      </c>
      <c r="G203" s="166" t="s">
        <v>161</v>
      </c>
      <c r="H203" s="213" t="s">
        <v>165</v>
      </c>
      <c r="I203" s="216" t="str">
        <f t="shared" si="40"/>
        <v/>
      </c>
      <c r="J203" s="248" t="str">
        <f t="shared" si="39"/>
        <v/>
      </c>
    </row>
    <row r="204" spans="2:10">
      <c r="B204" s="166" t="s">
        <v>18</v>
      </c>
      <c r="C204" s="166" t="s">
        <v>152</v>
      </c>
      <c r="D204" s="213" t="s">
        <v>151</v>
      </c>
      <c r="E204" s="166" t="s">
        <v>155</v>
      </c>
      <c r="F204" s="213" t="s">
        <v>159</v>
      </c>
      <c r="G204" s="166" t="s">
        <v>162</v>
      </c>
      <c r="H204" s="213" t="s">
        <v>164</v>
      </c>
      <c r="I204" s="216" t="str">
        <f t="shared" si="40"/>
        <v/>
      </c>
      <c r="J204" s="248" t="str">
        <f t="shared" si="39"/>
        <v/>
      </c>
    </row>
    <row r="205" spans="2:10">
      <c r="B205" s="166" t="s">
        <v>18</v>
      </c>
      <c r="C205" s="166" t="s">
        <v>152</v>
      </c>
      <c r="D205" s="213" t="s">
        <v>151</v>
      </c>
      <c r="E205" s="166" t="s">
        <v>155</v>
      </c>
      <c r="F205" s="213" t="s">
        <v>159</v>
      </c>
      <c r="G205" s="166" t="s">
        <v>162</v>
      </c>
      <c r="H205" s="213" t="s">
        <v>165</v>
      </c>
      <c r="I205" s="216" t="str">
        <f t="shared" si="40"/>
        <v/>
      </c>
      <c r="J205" s="248" t="str">
        <f t="shared" si="39"/>
        <v/>
      </c>
    </row>
    <row r="206" spans="2:10">
      <c r="B206" s="166" t="s">
        <v>18</v>
      </c>
      <c r="C206" s="166" t="s">
        <v>152</v>
      </c>
      <c r="D206" s="213" t="s">
        <v>151</v>
      </c>
      <c r="E206" s="166" t="s">
        <v>156</v>
      </c>
      <c r="F206" s="213" t="s">
        <v>158</v>
      </c>
      <c r="G206" s="166" t="s">
        <v>161</v>
      </c>
      <c r="H206" s="213" t="s">
        <v>164</v>
      </c>
      <c r="I206" s="216" t="str">
        <f t="shared" si="40"/>
        <v/>
      </c>
      <c r="J206" s="248" t="str">
        <f t="shared" si="39"/>
        <v/>
      </c>
    </row>
    <row r="207" spans="2:10">
      <c r="B207" s="166" t="s">
        <v>18</v>
      </c>
      <c r="C207" s="166" t="s">
        <v>152</v>
      </c>
      <c r="D207" s="213" t="s">
        <v>151</v>
      </c>
      <c r="E207" s="166" t="s">
        <v>156</v>
      </c>
      <c r="F207" s="213" t="s">
        <v>158</v>
      </c>
      <c r="G207" s="166" t="s">
        <v>161</v>
      </c>
      <c r="H207" s="213" t="s">
        <v>165</v>
      </c>
      <c r="I207" s="216" t="str">
        <f t="shared" si="40"/>
        <v/>
      </c>
      <c r="J207" s="248" t="str">
        <f t="shared" si="39"/>
        <v/>
      </c>
    </row>
    <row r="208" spans="2:10">
      <c r="B208" s="166" t="s">
        <v>18</v>
      </c>
      <c r="C208" s="166" t="s">
        <v>152</v>
      </c>
      <c r="D208" s="213" t="s">
        <v>151</v>
      </c>
      <c r="E208" s="166" t="s">
        <v>156</v>
      </c>
      <c r="F208" s="213" t="s">
        <v>158</v>
      </c>
      <c r="G208" s="166" t="s">
        <v>162</v>
      </c>
      <c r="H208" s="213" t="s">
        <v>164</v>
      </c>
      <c r="I208" s="216" t="str">
        <f t="shared" si="40"/>
        <v/>
      </c>
      <c r="J208" s="248" t="str">
        <f t="shared" si="39"/>
        <v/>
      </c>
    </row>
    <row r="209" spans="2:10">
      <c r="B209" s="166" t="s">
        <v>18</v>
      </c>
      <c r="C209" s="166" t="s">
        <v>152</v>
      </c>
      <c r="D209" s="213" t="s">
        <v>151</v>
      </c>
      <c r="E209" s="166" t="s">
        <v>156</v>
      </c>
      <c r="F209" s="213" t="s">
        <v>158</v>
      </c>
      <c r="G209" s="166" t="s">
        <v>162</v>
      </c>
      <c r="H209" s="213" t="s">
        <v>165</v>
      </c>
      <c r="I209" s="216" t="str">
        <f t="shared" si="40"/>
        <v/>
      </c>
      <c r="J209" s="248" t="str">
        <f t="shared" si="39"/>
        <v/>
      </c>
    </row>
    <row r="210" spans="2:10">
      <c r="B210" s="166" t="s">
        <v>18</v>
      </c>
      <c r="C210" s="166" t="s">
        <v>152</v>
      </c>
      <c r="D210" s="213" t="s">
        <v>151</v>
      </c>
      <c r="E210" s="166" t="s">
        <v>156</v>
      </c>
      <c r="F210" s="213" t="s">
        <v>159</v>
      </c>
      <c r="G210" s="166" t="s">
        <v>161</v>
      </c>
      <c r="H210" s="213" t="s">
        <v>164</v>
      </c>
      <c r="I210" s="216" t="str">
        <f t="shared" si="40"/>
        <v/>
      </c>
      <c r="J210" s="248" t="str">
        <f t="shared" si="39"/>
        <v/>
      </c>
    </row>
    <row r="211" spans="2:10">
      <c r="B211" s="166" t="s">
        <v>18</v>
      </c>
      <c r="C211" s="166" t="s">
        <v>152</v>
      </c>
      <c r="D211" s="213" t="s">
        <v>151</v>
      </c>
      <c r="E211" s="166" t="s">
        <v>156</v>
      </c>
      <c r="F211" s="213" t="s">
        <v>159</v>
      </c>
      <c r="G211" s="166" t="s">
        <v>161</v>
      </c>
      <c r="H211" s="213" t="s">
        <v>165</v>
      </c>
      <c r="I211" s="216" t="str">
        <f t="shared" si="40"/>
        <v/>
      </c>
      <c r="J211" s="248" t="str">
        <f t="shared" si="39"/>
        <v/>
      </c>
    </row>
    <row r="212" spans="2:10">
      <c r="B212" s="166" t="s">
        <v>18</v>
      </c>
      <c r="C212" s="166" t="s">
        <v>152</v>
      </c>
      <c r="D212" s="213" t="s">
        <v>151</v>
      </c>
      <c r="E212" s="166" t="s">
        <v>156</v>
      </c>
      <c r="F212" s="213" t="s">
        <v>159</v>
      </c>
      <c r="G212" s="166" t="s">
        <v>162</v>
      </c>
      <c r="H212" s="213" t="s">
        <v>164</v>
      </c>
      <c r="I212" s="216" t="str">
        <f t="shared" si="40"/>
        <v/>
      </c>
      <c r="J212" s="248" t="str">
        <f t="shared" si="39"/>
        <v/>
      </c>
    </row>
    <row r="213" spans="2:10">
      <c r="B213" s="168" t="s">
        <v>18</v>
      </c>
      <c r="C213" s="168" t="s">
        <v>152</v>
      </c>
      <c r="D213" s="215" t="s">
        <v>151</v>
      </c>
      <c r="E213" s="168" t="s">
        <v>156</v>
      </c>
      <c r="F213" s="215" t="s">
        <v>159</v>
      </c>
      <c r="G213" s="168" t="s">
        <v>162</v>
      </c>
      <c r="H213" s="215" t="s">
        <v>165</v>
      </c>
      <c r="I213" s="217" t="str">
        <f t="shared" si="40"/>
        <v/>
      </c>
      <c r="J213" s="249" t="str">
        <f t="shared" si="39"/>
        <v/>
      </c>
    </row>
    <row r="214" spans="2:10">
      <c r="B214" s="167" t="s">
        <v>19</v>
      </c>
      <c r="C214" s="167" t="s">
        <v>149</v>
      </c>
      <c r="D214" s="164" t="s">
        <v>150</v>
      </c>
      <c r="E214" s="167" t="s">
        <v>155</v>
      </c>
      <c r="F214" s="164" t="s">
        <v>158</v>
      </c>
      <c r="G214" s="167" t="s">
        <v>161</v>
      </c>
      <c r="H214" s="207" t="s">
        <v>164</v>
      </c>
      <c r="I214" s="216" t="str">
        <f t="shared" ref="I214:I245" si="41">IF(K15="","",K15)</f>
        <v/>
      </c>
      <c r="J214" s="247" t="str">
        <f t="shared" si="39"/>
        <v/>
      </c>
    </row>
    <row r="215" spans="2:10">
      <c r="B215" s="167" t="s">
        <v>19</v>
      </c>
      <c r="C215" s="167" t="s">
        <v>149</v>
      </c>
      <c r="D215" s="164" t="s">
        <v>150</v>
      </c>
      <c r="E215" s="167" t="s">
        <v>155</v>
      </c>
      <c r="F215" s="164" t="s">
        <v>158</v>
      </c>
      <c r="G215" s="167" t="s">
        <v>161</v>
      </c>
      <c r="H215" s="207" t="s">
        <v>165</v>
      </c>
      <c r="I215" s="216" t="str">
        <f t="shared" si="41"/>
        <v/>
      </c>
      <c r="J215" s="248" t="str">
        <f t="shared" ref="J215:J278" si="42">IF(I215="","",CONCATENATE(C215,"_",D215,"_",E215,"_",F215,"_",G215,"_",H215))</f>
        <v/>
      </c>
    </row>
    <row r="216" spans="2:10">
      <c r="B216" s="167" t="s">
        <v>19</v>
      </c>
      <c r="C216" s="167" t="s">
        <v>149</v>
      </c>
      <c r="D216" s="164" t="s">
        <v>150</v>
      </c>
      <c r="E216" s="167" t="s">
        <v>155</v>
      </c>
      <c r="F216" s="164" t="s">
        <v>158</v>
      </c>
      <c r="G216" s="167" t="s">
        <v>162</v>
      </c>
      <c r="H216" s="207" t="s">
        <v>164</v>
      </c>
      <c r="I216" s="216" t="str">
        <f t="shared" si="41"/>
        <v/>
      </c>
      <c r="J216" s="248" t="str">
        <f t="shared" si="42"/>
        <v/>
      </c>
    </row>
    <row r="217" spans="2:10">
      <c r="B217" s="167" t="s">
        <v>19</v>
      </c>
      <c r="C217" s="167" t="s">
        <v>149</v>
      </c>
      <c r="D217" s="164" t="s">
        <v>150</v>
      </c>
      <c r="E217" s="167" t="s">
        <v>155</v>
      </c>
      <c r="F217" s="164" t="s">
        <v>158</v>
      </c>
      <c r="G217" s="167" t="s">
        <v>162</v>
      </c>
      <c r="H217" s="207" t="s">
        <v>165</v>
      </c>
      <c r="I217" s="216" t="str">
        <f t="shared" si="41"/>
        <v/>
      </c>
      <c r="J217" s="248" t="str">
        <f t="shared" si="42"/>
        <v/>
      </c>
    </row>
    <row r="218" spans="2:10">
      <c r="B218" s="167" t="s">
        <v>19</v>
      </c>
      <c r="C218" s="167" t="s">
        <v>149</v>
      </c>
      <c r="D218" s="164" t="s">
        <v>150</v>
      </c>
      <c r="E218" s="167" t="s">
        <v>155</v>
      </c>
      <c r="F218" s="164" t="s">
        <v>159</v>
      </c>
      <c r="G218" s="167" t="s">
        <v>161</v>
      </c>
      <c r="H218" s="207" t="s">
        <v>164</v>
      </c>
      <c r="I218" s="216" t="str">
        <f t="shared" si="41"/>
        <v/>
      </c>
      <c r="J218" s="248" t="str">
        <f t="shared" si="42"/>
        <v/>
      </c>
    </row>
    <row r="219" spans="2:10">
      <c r="B219" s="167" t="s">
        <v>19</v>
      </c>
      <c r="C219" s="167" t="s">
        <v>149</v>
      </c>
      <c r="D219" s="164" t="s">
        <v>150</v>
      </c>
      <c r="E219" s="167" t="s">
        <v>155</v>
      </c>
      <c r="F219" s="164" t="s">
        <v>159</v>
      </c>
      <c r="G219" s="167" t="s">
        <v>161</v>
      </c>
      <c r="H219" s="207" t="s">
        <v>165</v>
      </c>
      <c r="I219" s="216" t="str">
        <f t="shared" si="41"/>
        <v/>
      </c>
      <c r="J219" s="248" t="str">
        <f t="shared" si="42"/>
        <v/>
      </c>
    </row>
    <row r="220" spans="2:10">
      <c r="B220" s="167" t="s">
        <v>19</v>
      </c>
      <c r="C220" s="167" t="s">
        <v>149</v>
      </c>
      <c r="D220" s="164" t="s">
        <v>150</v>
      </c>
      <c r="E220" s="167" t="s">
        <v>155</v>
      </c>
      <c r="F220" s="164" t="s">
        <v>159</v>
      </c>
      <c r="G220" s="167" t="s">
        <v>162</v>
      </c>
      <c r="H220" s="207" t="s">
        <v>164</v>
      </c>
      <c r="I220" s="216" t="str">
        <f t="shared" si="41"/>
        <v/>
      </c>
      <c r="J220" s="248" t="str">
        <f t="shared" si="42"/>
        <v/>
      </c>
    </row>
    <row r="221" spans="2:10">
      <c r="B221" s="167" t="s">
        <v>19</v>
      </c>
      <c r="C221" s="167" t="s">
        <v>149</v>
      </c>
      <c r="D221" s="164" t="s">
        <v>150</v>
      </c>
      <c r="E221" s="167" t="s">
        <v>155</v>
      </c>
      <c r="F221" s="164" t="s">
        <v>159</v>
      </c>
      <c r="G221" s="167" t="s">
        <v>162</v>
      </c>
      <c r="H221" s="207" t="s">
        <v>165</v>
      </c>
      <c r="I221" s="216" t="str">
        <f t="shared" si="41"/>
        <v/>
      </c>
      <c r="J221" s="248" t="str">
        <f t="shared" si="42"/>
        <v/>
      </c>
    </row>
    <row r="222" spans="2:10">
      <c r="B222" s="167" t="s">
        <v>19</v>
      </c>
      <c r="C222" s="167" t="s">
        <v>149</v>
      </c>
      <c r="D222" s="164" t="s">
        <v>150</v>
      </c>
      <c r="E222" s="167" t="s">
        <v>156</v>
      </c>
      <c r="F222" s="164" t="s">
        <v>158</v>
      </c>
      <c r="G222" s="167" t="s">
        <v>161</v>
      </c>
      <c r="H222" s="207" t="s">
        <v>164</v>
      </c>
      <c r="I222" s="216" t="str">
        <f t="shared" si="41"/>
        <v/>
      </c>
      <c r="J222" s="248" t="str">
        <f t="shared" si="42"/>
        <v/>
      </c>
    </row>
    <row r="223" spans="2:10">
      <c r="B223" s="167" t="s">
        <v>19</v>
      </c>
      <c r="C223" s="167" t="s">
        <v>149</v>
      </c>
      <c r="D223" s="164" t="s">
        <v>150</v>
      </c>
      <c r="E223" s="167" t="s">
        <v>156</v>
      </c>
      <c r="F223" s="164" t="s">
        <v>158</v>
      </c>
      <c r="G223" s="167" t="s">
        <v>161</v>
      </c>
      <c r="H223" s="207" t="s">
        <v>165</v>
      </c>
      <c r="I223" s="216" t="str">
        <f t="shared" si="41"/>
        <v/>
      </c>
      <c r="J223" s="248" t="str">
        <f t="shared" si="42"/>
        <v/>
      </c>
    </row>
    <row r="224" spans="2:10">
      <c r="B224" s="167" t="s">
        <v>19</v>
      </c>
      <c r="C224" s="167" t="s">
        <v>149</v>
      </c>
      <c r="D224" s="164" t="s">
        <v>150</v>
      </c>
      <c r="E224" s="167" t="s">
        <v>156</v>
      </c>
      <c r="F224" s="164" t="s">
        <v>158</v>
      </c>
      <c r="G224" s="167" t="s">
        <v>162</v>
      </c>
      <c r="H224" s="207" t="s">
        <v>164</v>
      </c>
      <c r="I224" s="216" t="str">
        <f t="shared" si="41"/>
        <v/>
      </c>
      <c r="J224" s="248" t="str">
        <f t="shared" si="42"/>
        <v/>
      </c>
    </row>
    <row r="225" spans="2:10">
      <c r="B225" s="167" t="s">
        <v>19</v>
      </c>
      <c r="C225" s="167" t="s">
        <v>149</v>
      </c>
      <c r="D225" s="164" t="s">
        <v>150</v>
      </c>
      <c r="E225" s="167" t="s">
        <v>156</v>
      </c>
      <c r="F225" s="164" t="s">
        <v>158</v>
      </c>
      <c r="G225" s="167" t="s">
        <v>162</v>
      </c>
      <c r="H225" s="207" t="s">
        <v>165</v>
      </c>
      <c r="I225" s="216" t="str">
        <f t="shared" si="41"/>
        <v/>
      </c>
      <c r="J225" s="248" t="str">
        <f t="shared" si="42"/>
        <v/>
      </c>
    </row>
    <row r="226" spans="2:10">
      <c r="B226" s="167" t="s">
        <v>19</v>
      </c>
      <c r="C226" s="167" t="s">
        <v>149</v>
      </c>
      <c r="D226" s="164" t="s">
        <v>150</v>
      </c>
      <c r="E226" s="167" t="s">
        <v>156</v>
      </c>
      <c r="F226" s="164" t="s">
        <v>159</v>
      </c>
      <c r="G226" s="167" t="s">
        <v>161</v>
      </c>
      <c r="H226" s="207" t="s">
        <v>164</v>
      </c>
      <c r="I226" s="216" t="str">
        <f t="shared" si="41"/>
        <v/>
      </c>
      <c r="J226" s="248" t="str">
        <f t="shared" si="42"/>
        <v/>
      </c>
    </row>
    <row r="227" spans="2:10">
      <c r="B227" s="167" t="s">
        <v>19</v>
      </c>
      <c r="C227" s="167" t="s">
        <v>149</v>
      </c>
      <c r="D227" s="164" t="s">
        <v>150</v>
      </c>
      <c r="E227" s="167" t="s">
        <v>156</v>
      </c>
      <c r="F227" s="164" t="s">
        <v>159</v>
      </c>
      <c r="G227" s="167" t="s">
        <v>161</v>
      </c>
      <c r="H227" s="207" t="s">
        <v>165</v>
      </c>
      <c r="I227" s="216" t="str">
        <f t="shared" si="41"/>
        <v/>
      </c>
      <c r="J227" s="248" t="str">
        <f t="shared" si="42"/>
        <v/>
      </c>
    </row>
    <row r="228" spans="2:10">
      <c r="B228" s="167" t="s">
        <v>19</v>
      </c>
      <c r="C228" s="167" t="s">
        <v>149</v>
      </c>
      <c r="D228" s="164" t="s">
        <v>150</v>
      </c>
      <c r="E228" s="167" t="s">
        <v>156</v>
      </c>
      <c r="F228" s="164" t="s">
        <v>159</v>
      </c>
      <c r="G228" s="167" t="s">
        <v>162</v>
      </c>
      <c r="H228" s="207" t="s">
        <v>164</v>
      </c>
      <c r="I228" s="216" t="str">
        <f t="shared" si="41"/>
        <v/>
      </c>
      <c r="J228" s="248" t="str">
        <f t="shared" si="42"/>
        <v/>
      </c>
    </row>
    <row r="229" spans="2:10">
      <c r="B229" s="167" t="s">
        <v>19</v>
      </c>
      <c r="C229" s="167" t="s">
        <v>149</v>
      </c>
      <c r="D229" s="164" t="s">
        <v>150</v>
      </c>
      <c r="E229" s="167" t="s">
        <v>156</v>
      </c>
      <c r="F229" s="207" t="s">
        <v>159</v>
      </c>
      <c r="G229" s="166" t="s">
        <v>162</v>
      </c>
      <c r="H229" s="207" t="s">
        <v>165</v>
      </c>
      <c r="I229" s="216" t="str">
        <f t="shared" si="41"/>
        <v/>
      </c>
      <c r="J229" s="248" t="str">
        <f t="shared" si="42"/>
        <v/>
      </c>
    </row>
    <row r="230" spans="2:10">
      <c r="B230" s="167" t="s">
        <v>19</v>
      </c>
      <c r="C230" s="167" t="s">
        <v>149</v>
      </c>
      <c r="D230" s="164" t="s">
        <v>151</v>
      </c>
      <c r="E230" s="167" t="s">
        <v>155</v>
      </c>
      <c r="F230" s="207" t="s">
        <v>158</v>
      </c>
      <c r="G230" s="166" t="s">
        <v>161</v>
      </c>
      <c r="H230" s="207" t="s">
        <v>164</v>
      </c>
      <c r="I230" s="216" t="str">
        <f t="shared" si="41"/>
        <v/>
      </c>
      <c r="J230" s="248" t="str">
        <f t="shared" si="42"/>
        <v/>
      </c>
    </row>
    <row r="231" spans="2:10">
      <c r="B231" s="167" t="s">
        <v>19</v>
      </c>
      <c r="C231" s="167" t="s">
        <v>149</v>
      </c>
      <c r="D231" s="164" t="s">
        <v>151</v>
      </c>
      <c r="E231" s="167" t="s">
        <v>155</v>
      </c>
      <c r="F231" s="207" t="s">
        <v>158</v>
      </c>
      <c r="G231" s="166" t="s">
        <v>161</v>
      </c>
      <c r="H231" s="207" t="s">
        <v>165</v>
      </c>
      <c r="I231" s="216" t="str">
        <f t="shared" si="41"/>
        <v/>
      </c>
      <c r="J231" s="248" t="str">
        <f t="shared" si="42"/>
        <v/>
      </c>
    </row>
    <row r="232" spans="2:10">
      <c r="B232" s="167" t="s">
        <v>19</v>
      </c>
      <c r="C232" s="167" t="s">
        <v>149</v>
      </c>
      <c r="D232" s="164" t="s">
        <v>151</v>
      </c>
      <c r="E232" s="167" t="s">
        <v>155</v>
      </c>
      <c r="F232" s="207" t="s">
        <v>158</v>
      </c>
      <c r="G232" s="166" t="s">
        <v>162</v>
      </c>
      <c r="H232" s="207" t="s">
        <v>164</v>
      </c>
      <c r="I232" s="216" t="str">
        <f t="shared" si="41"/>
        <v/>
      </c>
      <c r="J232" s="248" t="str">
        <f t="shared" si="42"/>
        <v/>
      </c>
    </row>
    <row r="233" spans="2:10">
      <c r="B233" s="166" t="s">
        <v>19</v>
      </c>
      <c r="C233" s="166" t="s">
        <v>149</v>
      </c>
      <c r="D233" s="207" t="s">
        <v>151</v>
      </c>
      <c r="E233" s="167" t="s">
        <v>155</v>
      </c>
      <c r="F233" s="207" t="s">
        <v>158</v>
      </c>
      <c r="G233" s="166" t="s">
        <v>162</v>
      </c>
      <c r="H233" s="207" t="s">
        <v>165</v>
      </c>
      <c r="I233" s="216" t="str">
        <f t="shared" si="41"/>
        <v/>
      </c>
      <c r="J233" s="248" t="str">
        <f t="shared" si="42"/>
        <v/>
      </c>
    </row>
    <row r="234" spans="2:10">
      <c r="B234" s="166" t="s">
        <v>19</v>
      </c>
      <c r="C234" s="166" t="s">
        <v>149</v>
      </c>
      <c r="D234" s="207" t="s">
        <v>151</v>
      </c>
      <c r="E234" s="166" t="s">
        <v>155</v>
      </c>
      <c r="F234" s="207" t="s">
        <v>159</v>
      </c>
      <c r="G234" s="166" t="s">
        <v>161</v>
      </c>
      <c r="H234" s="207" t="s">
        <v>164</v>
      </c>
      <c r="I234" s="216" t="str">
        <f t="shared" si="41"/>
        <v/>
      </c>
      <c r="J234" s="248" t="str">
        <f t="shared" si="42"/>
        <v/>
      </c>
    </row>
    <row r="235" spans="2:10">
      <c r="B235" s="218" t="s">
        <v>19</v>
      </c>
      <c r="C235" s="218" t="s">
        <v>149</v>
      </c>
      <c r="D235" s="214" t="s">
        <v>151</v>
      </c>
      <c r="E235" s="218" t="s">
        <v>155</v>
      </c>
      <c r="F235" s="214" t="s">
        <v>159</v>
      </c>
      <c r="G235" s="218" t="s">
        <v>161</v>
      </c>
      <c r="H235" s="214" t="s">
        <v>165</v>
      </c>
      <c r="I235" s="216" t="str">
        <f t="shared" si="41"/>
        <v/>
      </c>
      <c r="J235" s="248" t="str">
        <f t="shared" si="42"/>
        <v/>
      </c>
    </row>
    <row r="236" spans="2:10">
      <c r="B236" s="222" t="s">
        <v>19</v>
      </c>
      <c r="C236" s="222" t="s">
        <v>149</v>
      </c>
      <c r="D236" s="164" t="s">
        <v>151</v>
      </c>
      <c r="E236" s="220" t="s">
        <v>155</v>
      </c>
      <c r="F236" s="208" t="s">
        <v>159</v>
      </c>
      <c r="G236" s="219" t="s">
        <v>162</v>
      </c>
      <c r="H236" s="209" t="s">
        <v>164</v>
      </c>
      <c r="I236" s="216" t="str">
        <f t="shared" si="41"/>
        <v/>
      </c>
      <c r="J236" s="248" t="str">
        <f t="shared" si="42"/>
        <v/>
      </c>
    </row>
    <row r="237" spans="2:10">
      <c r="B237" s="222" t="s">
        <v>19</v>
      </c>
      <c r="C237" s="222" t="s">
        <v>149</v>
      </c>
      <c r="D237" s="164" t="s">
        <v>151</v>
      </c>
      <c r="E237" s="220" t="s">
        <v>155</v>
      </c>
      <c r="F237" s="208" t="s">
        <v>159</v>
      </c>
      <c r="G237" s="219" t="s">
        <v>162</v>
      </c>
      <c r="H237" s="209" t="s">
        <v>165</v>
      </c>
      <c r="I237" s="216" t="str">
        <f t="shared" si="41"/>
        <v/>
      </c>
      <c r="J237" s="248" t="str">
        <f t="shared" si="42"/>
        <v/>
      </c>
    </row>
    <row r="238" spans="2:10">
      <c r="B238" s="222" t="s">
        <v>19</v>
      </c>
      <c r="C238" s="222" t="s">
        <v>149</v>
      </c>
      <c r="D238" s="164" t="s">
        <v>151</v>
      </c>
      <c r="E238" s="220" t="s">
        <v>156</v>
      </c>
      <c r="F238" s="208" t="s">
        <v>158</v>
      </c>
      <c r="G238" s="219" t="s">
        <v>161</v>
      </c>
      <c r="H238" s="209" t="s">
        <v>164</v>
      </c>
      <c r="I238" s="216" t="str">
        <f t="shared" si="41"/>
        <v/>
      </c>
      <c r="J238" s="248" t="str">
        <f t="shared" si="42"/>
        <v/>
      </c>
    </row>
    <row r="239" spans="2:10">
      <c r="B239" s="222" t="s">
        <v>19</v>
      </c>
      <c r="C239" s="222" t="s">
        <v>149</v>
      </c>
      <c r="D239" s="164" t="s">
        <v>151</v>
      </c>
      <c r="E239" s="220" t="s">
        <v>156</v>
      </c>
      <c r="F239" s="208" t="s">
        <v>158</v>
      </c>
      <c r="G239" s="219" t="s">
        <v>161</v>
      </c>
      <c r="H239" s="209" t="s">
        <v>165</v>
      </c>
      <c r="I239" s="216" t="str">
        <f t="shared" si="41"/>
        <v/>
      </c>
      <c r="J239" s="248" t="str">
        <f t="shared" si="42"/>
        <v/>
      </c>
    </row>
    <row r="240" spans="2:10">
      <c r="B240" s="222" t="s">
        <v>19</v>
      </c>
      <c r="C240" s="222" t="s">
        <v>149</v>
      </c>
      <c r="D240" s="164" t="s">
        <v>151</v>
      </c>
      <c r="E240" s="220" t="s">
        <v>156</v>
      </c>
      <c r="F240" s="208" t="s">
        <v>158</v>
      </c>
      <c r="G240" s="219" t="s">
        <v>162</v>
      </c>
      <c r="H240" s="209" t="s">
        <v>164</v>
      </c>
      <c r="I240" s="216" t="str">
        <f t="shared" si="41"/>
        <v/>
      </c>
      <c r="J240" s="248" t="str">
        <f t="shared" si="42"/>
        <v/>
      </c>
    </row>
    <row r="241" spans="2:10">
      <c r="B241" s="222" t="s">
        <v>19</v>
      </c>
      <c r="C241" s="222" t="s">
        <v>149</v>
      </c>
      <c r="D241" s="164" t="s">
        <v>151</v>
      </c>
      <c r="E241" s="220" t="s">
        <v>156</v>
      </c>
      <c r="F241" s="208" t="s">
        <v>158</v>
      </c>
      <c r="G241" s="219" t="s">
        <v>162</v>
      </c>
      <c r="H241" s="209" t="s">
        <v>165</v>
      </c>
      <c r="I241" s="216" t="str">
        <f t="shared" si="41"/>
        <v/>
      </c>
      <c r="J241" s="248" t="str">
        <f t="shared" si="42"/>
        <v/>
      </c>
    </row>
    <row r="242" spans="2:10">
      <c r="B242" s="223" t="s">
        <v>19</v>
      </c>
      <c r="C242" s="223" t="s">
        <v>149</v>
      </c>
      <c r="D242" s="210" t="s">
        <v>151</v>
      </c>
      <c r="E242" s="221" t="s">
        <v>156</v>
      </c>
      <c r="F242" s="211" t="s">
        <v>159</v>
      </c>
      <c r="G242" s="170" t="s">
        <v>161</v>
      </c>
      <c r="H242" s="212" t="s">
        <v>164</v>
      </c>
      <c r="I242" s="216" t="str">
        <f t="shared" si="41"/>
        <v/>
      </c>
      <c r="J242" s="248" t="str">
        <f t="shared" si="42"/>
        <v/>
      </c>
    </row>
    <row r="243" spans="2:10">
      <c r="B243" s="223" t="s">
        <v>19</v>
      </c>
      <c r="C243" s="223" t="s">
        <v>149</v>
      </c>
      <c r="D243" s="210" t="s">
        <v>151</v>
      </c>
      <c r="E243" s="221" t="s">
        <v>156</v>
      </c>
      <c r="F243" s="211" t="s">
        <v>159</v>
      </c>
      <c r="G243" s="170" t="s">
        <v>161</v>
      </c>
      <c r="H243" s="212" t="s">
        <v>165</v>
      </c>
      <c r="I243" s="216" t="str">
        <f t="shared" si="41"/>
        <v/>
      </c>
      <c r="J243" s="248" t="str">
        <f t="shared" si="42"/>
        <v/>
      </c>
    </row>
    <row r="244" spans="2:10">
      <c r="B244" s="223" t="s">
        <v>19</v>
      </c>
      <c r="C244" s="223" t="s">
        <v>149</v>
      </c>
      <c r="D244" s="210" t="s">
        <v>151</v>
      </c>
      <c r="E244" s="221" t="s">
        <v>156</v>
      </c>
      <c r="F244" s="211" t="s">
        <v>159</v>
      </c>
      <c r="G244" s="170" t="s">
        <v>162</v>
      </c>
      <c r="H244" s="212" t="s">
        <v>164</v>
      </c>
      <c r="I244" s="216" t="str">
        <f t="shared" si="41"/>
        <v/>
      </c>
      <c r="J244" s="248" t="str">
        <f t="shared" si="42"/>
        <v/>
      </c>
    </row>
    <row r="245" spans="2:10">
      <c r="B245" s="223" t="s">
        <v>19</v>
      </c>
      <c r="C245" s="223" t="s">
        <v>149</v>
      </c>
      <c r="D245" s="210" t="s">
        <v>151</v>
      </c>
      <c r="E245" s="221" t="s">
        <v>156</v>
      </c>
      <c r="F245" s="211" t="s">
        <v>159</v>
      </c>
      <c r="G245" s="170" t="s">
        <v>162</v>
      </c>
      <c r="H245" s="212" t="s">
        <v>165</v>
      </c>
      <c r="I245" s="216" t="str">
        <f t="shared" si="41"/>
        <v/>
      </c>
      <c r="J245" s="248" t="str">
        <f t="shared" si="42"/>
        <v/>
      </c>
    </row>
    <row r="246" spans="2:10">
      <c r="B246" s="223" t="s">
        <v>19</v>
      </c>
      <c r="C246" s="223" t="s">
        <v>152</v>
      </c>
      <c r="D246" s="210" t="s">
        <v>150</v>
      </c>
      <c r="E246" s="221" t="s">
        <v>155</v>
      </c>
      <c r="F246" s="211" t="s">
        <v>158</v>
      </c>
      <c r="G246" s="170" t="s">
        <v>161</v>
      </c>
      <c r="H246" s="212" t="s">
        <v>164</v>
      </c>
      <c r="I246" s="216" t="str">
        <f t="shared" ref="I246:I277" si="43">IF(K47="","",K47)</f>
        <v/>
      </c>
      <c r="J246" s="248" t="str">
        <f t="shared" si="42"/>
        <v/>
      </c>
    </row>
    <row r="247" spans="2:10">
      <c r="B247" s="223" t="s">
        <v>19</v>
      </c>
      <c r="C247" s="223" t="s">
        <v>152</v>
      </c>
      <c r="D247" s="210" t="s">
        <v>150</v>
      </c>
      <c r="E247" s="221" t="s">
        <v>155</v>
      </c>
      <c r="F247" s="211" t="s">
        <v>158</v>
      </c>
      <c r="G247" s="170" t="s">
        <v>161</v>
      </c>
      <c r="H247" s="212" t="s">
        <v>165</v>
      </c>
      <c r="I247" s="216" t="str">
        <f t="shared" si="43"/>
        <v/>
      </c>
      <c r="J247" s="248" t="str">
        <f t="shared" si="42"/>
        <v/>
      </c>
    </row>
    <row r="248" spans="2:10">
      <c r="B248" s="223" t="s">
        <v>19</v>
      </c>
      <c r="C248" s="223" t="s">
        <v>152</v>
      </c>
      <c r="D248" s="210" t="s">
        <v>150</v>
      </c>
      <c r="E248" s="221" t="s">
        <v>155</v>
      </c>
      <c r="F248" s="211" t="s">
        <v>158</v>
      </c>
      <c r="G248" s="170" t="s">
        <v>162</v>
      </c>
      <c r="H248" s="212" t="s">
        <v>164</v>
      </c>
      <c r="I248" s="216" t="str">
        <f t="shared" si="43"/>
        <v/>
      </c>
      <c r="J248" s="248" t="str">
        <f t="shared" si="42"/>
        <v/>
      </c>
    </row>
    <row r="249" spans="2:10">
      <c r="B249" s="223" t="s">
        <v>19</v>
      </c>
      <c r="C249" s="223" t="s">
        <v>152</v>
      </c>
      <c r="D249" s="210" t="s">
        <v>150</v>
      </c>
      <c r="E249" s="221" t="s">
        <v>155</v>
      </c>
      <c r="F249" s="211" t="s">
        <v>158</v>
      </c>
      <c r="G249" s="170" t="s">
        <v>162</v>
      </c>
      <c r="H249" s="212" t="s">
        <v>165</v>
      </c>
      <c r="I249" s="216" t="str">
        <f t="shared" si="43"/>
        <v/>
      </c>
      <c r="J249" s="248" t="str">
        <f t="shared" si="42"/>
        <v/>
      </c>
    </row>
    <row r="250" spans="2:10">
      <c r="B250" s="223" t="s">
        <v>19</v>
      </c>
      <c r="C250" s="223" t="s">
        <v>152</v>
      </c>
      <c r="D250" s="210" t="s">
        <v>150</v>
      </c>
      <c r="E250" s="221" t="s">
        <v>155</v>
      </c>
      <c r="F250" s="211" t="s">
        <v>159</v>
      </c>
      <c r="G250" s="170" t="s">
        <v>161</v>
      </c>
      <c r="H250" s="212" t="s">
        <v>164</v>
      </c>
      <c r="I250" s="216" t="str">
        <f t="shared" si="43"/>
        <v/>
      </c>
      <c r="J250" s="248" t="str">
        <f t="shared" si="42"/>
        <v/>
      </c>
    </row>
    <row r="251" spans="2:10">
      <c r="B251" s="223" t="s">
        <v>19</v>
      </c>
      <c r="C251" s="223" t="s">
        <v>152</v>
      </c>
      <c r="D251" s="210" t="s">
        <v>150</v>
      </c>
      <c r="E251" s="221" t="s">
        <v>155</v>
      </c>
      <c r="F251" s="211" t="s">
        <v>159</v>
      </c>
      <c r="G251" s="170" t="s">
        <v>161</v>
      </c>
      <c r="H251" s="212" t="s">
        <v>165</v>
      </c>
      <c r="I251" s="216" t="str">
        <f t="shared" si="43"/>
        <v/>
      </c>
      <c r="J251" s="248" t="str">
        <f t="shared" si="42"/>
        <v/>
      </c>
    </row>
    <row r="252" spans="2:10">
      <c r="B252" s="223" t="s">
        <v>19</v>
      </c>
      <c r="C252" s="223" t="s">
        <v>152</v>
      </c>
      <c r="D252" s="210" t="s">
        <v>150</v>
      </c>
      <c r="E252" s="221" t="s">
        <v>155</v>
      </c>
      <c r="F252" s="211" t="s">
        <v>159</v>
      </c>
      <c r="G252" s="170" t="s">
        <v>162</v>
      </c>
      <c r="H252" s="212" t="s">
        <v>164</v>
      </c>
      <c r="I252" s="216" t="str">
        <f t="shared" si="43"/>
        <v/>
      </c>
      <c r="J252" s="248" t="str">
        <f t="shared" si="42"/>
        <v/>
      </c>
    </row>
    <row r="253" spans="2:10">
      <c r="B253" s="223" t="s">
        <v>19</v>
      </c>
      <c r="C253" s="223" t="s">
        <v>152</v>
      </c>
      <c r="D253" s="210" t="s">
        <v>150</v>
      </c>
      <c r="E253" s="221" t="s">
        <v>155</v>
      </c>
      <c r="F253" s="211" t="s">
        <v>159</v>
      </c>
      <c r="G253" s="170" t="s">
        <v>162</v>
      </c>
      <c r="H253" s="212" t="s">
        <v>165</v>
      </c>
      <c r="I253" s="216" t="str">
        <f t="shared" si="43"/>
        <v/>
      </c>
      <c r="J253" s="248" t="str">
        <f t="shared" si="42"/>
        <v/>
      </c>
    </row>
    <row r="254" spans="2:10">
      <c r="B254" s="223" t="s">
        <v>19</v>
      </c>
      <c r="C254" s="223" t="s">
        <v>152</v>
      </c>
      <c r="D254" s="210" t="s">
        <v>150</v>
      </c>
      <c r="E254" s="221" t="s">
        <v>156</v>
      </c>
      <c r="F254" s="211" t="s">
        <v>158</v>
      </c>
      <c r="G254" s="170" t="s">
        <v>161</v>
      </c>
      <c r="H254" s="212" t="s">
        <v>164</v>
      </c>
      <c r="I254" s="216" t="str">
        <f t="shared" si="43"/>
        <v/>
      </c>
      <c r="J254" s="248" t="str">
        <f t="shared" si="42"/>
        <v/>
      </c>
    </row>
    <row r="255" spans="2:10">
      <c r="B255" s="223" t="s">
        <v>19</v>
      </c>
      <c r="C255" s="223" t="s">
        <v>152</v>
      </c>
      <c r="D255" s="210" t="s">
        <v>150</v>
      </c>
      <c r="E255" s="221" t="s">
        <v>156</v>
      </c>
      <c r="F255" s="211" t="s">
        <v>158</v>
      </c>
      <c r="G255" s="170" t="s">
        <v>161</v>
      </c>
      <c r="H255" s="212" t="s">
        <v>165</v>
      </c>
      <c r="I255" s="216" t="str">
        <f t="shared" si="43"/>
        <v/>
      </c>
      <c r="J255" s="248" t="str">
        <f t="shared" si="42"/>
        <v/>
      </c>
    </row>
    <row r="256" spans="2:10">
      <c r="B256" s="223" t="s">
        <v>19</v>
      </c>
      <c r="C256" s="223" t="s">
        <v>152</v>
      </c>
      <c r="D256" s="210" t="s">
        <v>150</v>
      </c>
      <c r="E256" s="221" t="s">
        <v>156</v>
      </c>
      <c r="F256" s="211" t="s">
        <v>158</v>
      </c>
      <c r="G256" s="170" t="s">
        <v>162</v>
      </c>
      <c r="H256" s="212" t="s">
        <v>164</v>
      </c>
      <c r="I256" s="216" t="str">
        <f t="shared" si="43"/>
        <v/>
      </c>
      <c r="J256" s="248" t="str">
        <f t="shared" si="42"/>
        <v/>
      </c>
    </row>
    <row r="257" spans="2:10">
      <c r="B257" s="166" t="s">
        <v>19</v>
      </c>
      <c r="C257" s="166" t="s">
        <v>152</v>
      </c>
      <c r="D257" s="164" t="s">
        <v>150</v>
      </c>
      <c r="E257" s="220" t="s">
        <v>156</v>
      </c>
      <c r="F257" s="208" t="s">
        <v>158</v>
      </c>
      <c r="G257" s="166" t="s">
        <v>162</v>
      </c>
      <c r="H257" s="207" t="s">
        <v>165</v>
      </c>
      <c r="I257" s="216" t="str">
        <f t="shared" si="43"/>
        <v/>
      </c>
      <c r="J257" s="248" t="str">
        <f t="shared" si="42"/>
        <v/>
      </c>
    </row>
    <row r="258" spans="2:10">
      <c r="B258" s="166" t="s">
        <v>19</v>
      </c>
      <c r="C258" s="166" t="s">
        <v>152</v>
      </c>
      <c r="D258" s="164" t="s">
        <v>150</v>
      </c>
      <c r="E258" s="220" t="s">
        <v>156</v>
      </c>
      <c r="F258" s="208" t="s">
        <v>159</v>
      </c>
      <c r="G258" s="166" t="s">
        <v>161</v>
      </c>
      <c r="H258" s="207" t="s">
        <v>164</v>
      </c>
      <c r="I258" s="216" t="str">
        <f t="shared" si="43"/>
        <v/>
      </c>
      <c r="J258" s="248" t="str">
        <f t="shared" si="42"/>
        <v/>
      </c>
    </row>
    <row r="259" spans="2:10">
      <c r="B259" s="166" t="s">
        <v>19</v>
      </c>
      <c r="C259" s="166" t="s">
        <v>152</v>
      </c>
      <c r="D259" s="207" t="s">
        <v>150</v>
      </c>
      <c r="E259" s="166" t="s">
        <v>156</v>
      </c>
      <c r="F259" s="207" t="s">
        <v>159</v>
      </c>
      <c r="G259" s="166" t="s">
        <v>161</v>
      </c>
      <c r="H259" s="207" t="s">
        <v>165</v>
      </c>
      <c r="I259" s="216" t="str">
        <f t="shared" si="43"/>
        <v/>
      </c>
      <c r="J259" s="248" t="str">
        <f t="shared" si="42"/>
        <v/>
      </c>
    </row>
    <row r="260" spans="2:10">
      <c r="B260" s="166" t="s">
        <v>19</v>
      </c>
      <c r="C260" s="166" t="s">
        <v>152</v>
      </c>
      <c r="D260" s="213" t="s">
        <v>150</v>
      </c>
      <c r="E260" s="166" t="s">
        <v>156</v>
      </c>
      <c r="F260" s="213" t="s">
        <v>159</v>
      </c>
      <c r="G260" s="166" t="s">
        <v>162</v>
      </c>
      <c r="H260" s="213" t="s">
        <v>164</v>
      </c>
      <c r="I260" s="216" t="str">
        <f t="shared" si="43"/>
        <v/>
      </c>
      <c r="J260" s="248" t="str">
        <f t="shared" si="42"/>
        <v/>
      </c>
    </row>
    <row r="261" spans="2:10">
      <c r="B261" s="166" t="s">
        <v>19</v>
      </c>
      <c r="C261" s="166" t="s">
        <v>152</v>
      </c>
      <c r="D261" s="213" t="s">
        <v>150</v>
      </c>
      <c r="E261" s="166" t="s">
        <v>156</v>
      </c>
      <c r="F261" s="213" t="s">
        <v>159</v>
      </c>
      <c r="G261" s="166" t="s">
        <v>162</v>
      </c>
      <c r="H261" s="213" t="s">
        <v>165</v>
      </c>
      <c r="I261" s="216" t="str">
        <f t="shared" si="43"/>
        <v/>
      </c>
      <c r="J261" s="248" t="str">
        <f t="shared" si="42"/>
        <v/>
      </c>
    </row>
    <row r="262" spans="2:10">
      <c r="B262" s="166" t="s">
        <v>19</v>
      </c>
      <c r="C262" s="166" t="s">
        <v>152</v>
      </c>
      <c r="D262" s="213" t="s">
        <v>151</v>
      </c>
      <c r="E262" s="166" t="s">
        <v>155</v>
      </c>
      <c r="F262" s="213" t="s">
        <v>158</v>
      </c>
      <c r="G262" s="166" t="s">
        <v>161</v>
      </c>
      <c r="H262" s="213" t="s">
        <v>164</v>
      </c>
      <c r="I262" s="216" t="str">
        <f t="shared" si="43"/>
        <v/>
      </c>
      <c r="J262" s="248" t="str">
        <f t="shared" si="42"/>
        <v/>
      </c>
    </row>
    <row r="263" spans="2:10">
      <c r="B263" s="166" t="s">
        <v>19</v>
      </c>
      <c r="C263" s="166" t="s">
        <v>152</v>
      </c>
      <c r="D263" s="213" t="s">
        <v>151</v>
      </c>
      <c r="E263" s="166" t="s">
        <v>155</v>
      </c>
      <c r="F263" s="213" t="s">
        <v>158</v>
      </c>
      <c r="G263" s="166" t="s">
        <v>161</v>
      </c>
      <c r="H263" s="213" t="s">
        <v>165</v>
      </c>
      <c r="I263" s="216" t="str">
        <f t="shared" si="43"/>
        <v/>
      </c>
      <c r="J263" s="248" t="str">
        <f t="shared" si="42"/>
        <v/>
      </c>
    </row>
    <row r="264" spans="2:10">
      <c r="B264" s="166" t="s">
        <v>19</v>
      </c>
      <c r="C264" s="166" t="s">
        <v>152</v>
      </c>
      <c r="D264" s="213" t="s">
        <v>151</v>
      </c>
      <c r="E264" s="166" t="s">
        <v>155</v>
      </c>
      <c r="F264" s="213" t="s">
        <v>158</v>
      </c>
      <c r="G264" s="166" t="s">
        <v>162</v>
      </c>
      <c r="H264" s="213" t="s">
        <v>164</v>
      </c>
      <c r="I264" s="216" t="str">
        <f t="shared" si="43"/>
        <v/>
      </c>
      <c r="J264" s="248" t="str">
        <f t="shared" si="42"/>
        <v/>
      </c>
    </row>
    <row r="265" spans="2:10">
      <c r="B265" s="166" t="s">
        <v>19</v>
      </c>
      <c r="C265" s="166" t="s">
        <v>152</v>
      </c>
      <c r="D265" s="213" t="s">
        <v>151</v>
      </c>
      <c r="E265" s="166" t="s">
        <v>155</v>
      </c>
      <c r="F265" s="213" t="s">
        <v>158</v>
      </c>
      <c r="G265" s="166" t="s">
        <v>162</v>
      </c>
      <c r="H265" s="213" t="s">
        <v>165</v>
      </c>
      <c r="I265" s="216" t="str">
        <f t="shared" si="43"/>
        <v/>
      </c>
      <c r="J265" s="248" t="str">
        <f t="shared" si="42"/>
        <v/>
      </c>
    </row>
    <row r="266" spans="2:10">
      <c r="B266" s="166" t="s">
        <v>19</v>
      </c>
      <c r="C266" s="166" t="s">
        <v>152</v>
      </c>
      <c r="D266" s="213" t="s">
        <v>151</v>
      </c>
      <c r="E266" s="166" t="s">
        <v>155</v>
      </c>
      <c r="F266" s="213" t="s">
        <v>159</v>
      </c>
      <c r="G266" s="166" t="s">
        <v>161</v>
      </c>
      <c r="H266" s="213" t="s">
        <v>164</v>
      </c>
      <c r="I266" s="216" t="str">
        <f t="shared" si="43"/>
        <v/>
      </c>
      <c r="J266" s="248" t="str">
        <f t="shared" si="42"/>
        <v/>
      </c>
    </row>
    <row r="267" spans="2:10">
      <c r="B267" s="166" t="s">
        <v>19</v>
      </c>
      <c r="C267" s="166" t="s">
        <v>152</v>
      </c>
      <c r="D267" s="213" t="s">
        <v>151</v>
      </c>
      <c r="E267" s="166" t="s">
        <v>155</v>
      </c>
      <c r="F267" s="213" t="s">
        <v>159</v>
      </c>
      <c r="G267" s="166" t="s">
        <v>161</v>
      </c>
      <c r="H267" s="213" t="s">
        <v>165</v>
      </c>
      <c r="I267" s="216" t="str">
        <f t="shared" si="43"/>
        <v/>
      </c>
      <c r="J267" s="248" t="str">
        <f t="shared" si="42"/>
        <v/>
      </c>
    </row>
    <row r="268" spans="2:10">
      <c r="B268" s="166" t="s">
        <v>19</v>
      </c>
      <c r="C268" s="166" t="s">
        <v>152</v>
      </c>
      <c r="D268" s="213" t="s">
        <v>151</v>
      </c>
      <c r="E268" s="166" t="s">
        <v>155</v>
      </c>
      <c r="F268" s="213" t="s">
        <v>159</v>
      </c>
      <c r="G268" s="166" t="s">
        <v>162</v>
      </c>
      <c r="H268" s="213" t="s">
        <v>164</v>
      </c>
      <c r="I268" s="216" t="str">
        <f t="shared" si="43"/>
        <v/>
      </c>
      <c r="J268" s="248" t="str">
        <f t="shared" si="42"/>
        <v/>
      </c>
    </row>
    <row r="269" spans="2:10">
      <c r="B269" s="166" t="s">
        <v>19</v>
      </c>
      <c r="C269" s="166" t="s">
        <v>152</v>
      </c>
      <c r="D269" s="213" t="s">
        <v>151</v>
      </c>
      <c r="E269" s="166" t="s">
        <v>155</v>
      </c>
      <c r="F269" s="213" t="s">
        <v>159</v>
      </c>
      <c r="G269" s="166" t="s">
        <v>162</v>
      </c>
      <c r="H269" s="213" t="s">
        <v>165</v>
      </c>
      <c r="I269" s="216" t="str">
        <f t="shared" si="43"/>
        <v/>
      </c>
      <c r="J269" s="248" t="str">
        <f t="shared" si="42"/>
        <v/>
      </c>
    </row>
    <row r="270" spans="2:10">
      <c r="B270" s="166" t="s">
        <v>19</v>
      </c>
      <c r="C270" s="166" t="s">
        <v>152</v>
      </c>
      <c r="D270" s="213" t="s">
        <v>151</v>
      </c>
      <c r="E270" s="166" t="s">
        <v>156</v>
      </c>
      <c r="F270" s="213" t="s">
        <v>158</v>
      </c>
      <c r="G270" s="166" t="s">
        <v>161</v>
      </c>
      <c r="H270" s="213" t="s">
        <v>164</v>
      </c>
      <c r="I270" s="216" t="str">
        <f t="shared" si="43"/>
        <v/>
      </c>
      <c r="J270" s="248" t="str">
        <f t="shared" si="42"/>
        <v/>
      </c>
    </row>
    <row r="271" spans="2:10">
      <c r="B271" s="166" t="s">
        <v>19</v>
      </c>
      <c r="C271" s="166" t="s">
        <v>152</v>
      </c>
      <c r="D271" s="213" t="s">
        <v>151</v>
      </c>
      <c r="E271" s="166" t="s">
        <v>156</v>
      </c>
      <c r="F271" s="213" t="s">
        <v>158</v>
      </c>
      <c r="G271" s="166" t="s">
        <v>161</v>
      </c>
      <c r="H271" s="213" t="s">
        <v>165</v>
      </c>
      <c r="I271" s="216" t="str">
        <f t="shared" si="43"/>
        <v/>
      </c>
      <c r="J271" s="248" t="str">
        <f t="shared" si="42"/>
        <v/>
      </c>
    </row>
    <row r="272" spans="2:10">
      <c r="B272" s="166" t="s">
        <v>19</v>
      </c>
      <c r="C272" s="166" t="s">
        <v>152</v>
      </c>
      <c r="D272" s="213" t="s">
        <v>151</v>
      </c>
      <c r="E272" s="166" t="s">
        <v>156</v>
      </c>
      <c r="F272" s="213" t="s">
        <v>158</v>
      </c>
      <c r="G272" s="166" t="s">
        <v>162</v>
      </c>
      <c r="H272" s="213" t="s">
        <v>164</v>
      </c>
      <c r="I272" s="216" t="str">
        <f t="shared" si="43"/>
        <v/>
      </c>
      <c r="J272" s="248" t="str">
        <f t="shared" si="42"/>
        <v/>
      </c>
    </row>
    <row r="273" spans="2:10">
      <c r="B273" s="166" t="s">
        <v>19</v>
      </c>
      <c r="C273" s="166" t="s">
        <v>152</v>
      </c>
      <c r="D273" s="213" t="s">
        <v>151</v>
      </c>
      <c r="E273" s="166" t="s">
        <v>156</v>
      </c>
      <c r="F273" s="213" t="s">
        <v>158</v>
      </c>
      <c r="G273" s="166" t="s">
        <v>162</v>
      </c>
      <c r="H273" s="213" t="s">
        <v>165</v>
      </c>
      <c r="I273" s="216" t="str">
        <f t="shared" si="43"/>
        <v/>
      </c>
      <c r="J273" s="248" t="str">
        <f t="shared" si="42"/>
        <v/>
      </c>
    </row>
    <row r="274" spans="2:10">
      <c r="B274" s="166" t="s">
        <v>19</v>
      </c>
      <c r="C274" s="166" t="s">
        <v>152</v>
      </c>
      <c r="D274" s="213" t="s">
        <v>151</v>
      </c>
      <c r="E274" s="166" t="s">
        <v>156</v>
      </c>
      <c r="F274" s="213" t="s">
        <v>159</v>
      </c>
      <c r="G274" s="166" t="s">
        <v>161</v>
      </c>
      <c r="H274" s="213" t="s">
        <v>164</v>
      </c>
      <c r="I274" s="216" t="str">
        <f t="shared" si="43"/>
        <v/>
      </c>
      <c r="J274" s="248" t="str">
        <f t="shared" si="42"/>
        <v/>
      </c>
    </row>
    <row r="275" spans="2:10">
      <c r="B275" s="166" t="s">
        <v>19</v>
      </c>
      <c r="C275" s="166" t="s">
        <v>152</v>
      </c>
      <c r="D275" s="213" t="s">
        <v>151</v>
      </c>
      <c r="E275" s="166" t="s">
        <v>156</v>
      </c>
      <c r="F275" s="213" t="s">
        <v>159</v>
      </c>
      <c r="G275" s="166" t="s">
        <v>161</v>
      </c>
      <c r="H275" s="213" t="s">
        <v>165</v>
      </c>
      <c r="I275" s="216" t="str">
        <f t="shared" si="43"/>
        <v/>
      </c>
      <c r="J275" s="248" t="str">
        <f t="shared" si="42"/>
        <v/>
      </c>
    </row>
    <row r="276" spans="2:10">
      <c r="B276" s="166" t="s">
        <v>19</v>
      </c>
      <c r="C276" s="166" t="s">
        <v>152</v>
      </c>
      <c r="D276" s="213" t="s">
        <v>151</v>
      </c>
      <c r="E276" s="166" t="s">
        <v>156</v>
      </c>
      <c r="F276" s="213" t="s">
        <v>159</v>
      </c>
      <c r="G276" s="166" t="s">
        <v>162</v>
      </c>
      <c r="H276" s="213" t="s">
        <v>164</v>
      </c>
      <c r="I276" s="216" t="str">
        <f t="shared" si="43"/>
        <v/>
      </c>
      <c r="J276" s="248" t="str">
        <f t="shared" si="42"/>
        <v/>
      </c>
    </row>
    <row r="277" spans="2:10">
      <c r="B277" s="168" t="s">
        <v>19</v>
      </c>
      <c r="C277" s="168" t="s">
        <v>152</v>
      </c>
      <c r="D277" s="215" t="s">
        <v>151</v>
      </c>
      <c r="E277" s="168" t="s">
        <v>156</v>
      </c>
      <c r="F277" s="215" t="s">
        <v>159</v>
      </c>
      <c r="G277" s="168" t="s">
        <v>162</v>
      </c>
      <c r="H277" s="215" t="s">
        <v>165</v>
      </c>
      <c r="I277" s="217" t="str">
        <f t="shared" si="43"/>
        <v/>
      </c>
      <c r="J277" s="249" t="str">
        <f t="shared" si="42"/>
        <v/>
      </c>
    </row>
    <row r="278" spans="2:10">
      <c r="B278" s="167" t="s">
        <v>20</v>
      </c>
      <c r="C278" s="167" t="s">
        <v>149</v>
      </c>
      <c r="D278" s="164" t="s">
        <v>150</v>
      </c>
      <c r="E278" s="167" t="s">
        <v>155</v>
      </c>
      <c r="F278" s="164" t="s">
        <v>158</v>
      </c>
      <c r="G278" s="167" t="s">
        <v>161</v>
      </c>
      <c r="H278" s="207" t="s">
        <v>164</v>
      </c>
      <c r="I278" s="216" t="str">
        <f t="shared" ref="I278:I309" si="44">IF(L15="","",L15)</f>
        <v/>
      </c>
      <c r="J278" s="247" t="str">
        <f t="shared" si="42"/>
        <v/>
      </c>
    </row>
    <row r="279" spans="2:10">
      <c r="B279" s="167" t="s">
        <v>20</v>
      </c>
      <c r="C279" s="167" t="s">
        <v>149</v>
      </c>
      <c r="D279" s="164" t="s">
        <v>150</v>
      </c>
      <c r="E279" s="167" t="s">
        <v>155</v>
      </c>
      <c r="F279" s="164" t="s">
        <v>158</v>
      </c>
      <c r="G279" s="167" t="s">
        <v>161</v>
      </c>
      <c r="H279" s="207" t="s">
        <v>165</v>
      </c>
      <c r="I279" s="216" t="str">
        <f t="shared" si="44"/>
        <v/>
      </c>
      <c r="J279" s="248" t="str">
        <f t="shared" ref="J279:J342" si="45">IF(I279="","",CONCATENATE(C279,"_",D279,"_",E279,"_",F279,"_",G279,"_",H279))</f>
        <v/>
      </c>
    </row>
    <row r="280" spans="2:10">
      <c r="B280" s="167" t="s">
        <v>20</v>
      </c>
      <c r="C280" s="167" t="s">
        <v>149</v>
      </c>
      <c r="D280" s="164" t="s">
        <v>150</v>
      </c>
      <c r="E280" s="167" t="s">
        <v>155</v>
      </c>
      <c r="F280" s="164" t="s">
        <v>158</v>
      </c>
      <c r="G280" s="167" t="s">
        <v>162</v>
      </c>
      <c r="H280" s="207" t="s">
        <v>164</v>
      </c>
      <c r="I280" s="216" t="str">
        <f t="shared" si="44"/>
        <v/>
      </c>
      <c r="J280" s="248" t="str">
        <f t="shared" si="45"/>
        <v/>
      </c>
    </row>
    <row r="281" spans="2:10">
      <c r="B281" s="167" t="s">
        <v>20</v>
      </c>
      <c r="C281" s="167" t="s">
        <v>149</v>
      </c>
      <c r="D281" s="164" t="s">
        <v>150</v>
      </c>
      <c r="E281" s="167" t="s">
        <v>155</v>
      </c>
      <c r="F281" s="164" t="s">
        <v>158</v>
      </c>
      <c r="G281" s="167" t="s">
        <v>162</v>
      </c>
      <c r="H281" s="207" t="s">
        <v>165</v>
      </c>
      <c r="I281" s="216" t="str">
        <f t="shared" si="44"/>
        <v/>
      </c>
      <c r="J281" s="248" t="str">
        <f t="shared" si="45"/>
        <v/>
      </c>
    </row>
    <row r="282" spans="2:10">
      <c r="B282" s="167" t="s">
        <v>20</v>
      </c>
      <c r="C282" s="167" t="s">
        <v>149</v>
      </c>
      <c r="D282" s="164" t="s">
        <v>150</v>
      </c>
      <c r="E282" s="167" t="s">
        <v>155</v>
      </c>
      <c r="F282" s="164" t="s">
        <v>159</v>
      </c>
      <c r="G282" s="167" t="s">
        <v>161</v>
      </c>
      <c r="H282" s="207" t="s">
        <v>164</v>
      </c>
      <c r="I282" s="216" t="str">
        <f t="shared" si="44"/>
        <v/>
      </c>
      <c r="J282" s="248" t="str">
        <f t="shared" si="45"/>
        <v/>
      </c>
    </row>
    <row r="283" spans="2:10">
      <c r="B283" s="167" t="s">
        <v>20</v>
      </c>
      <c r="C283" s="167" t="s">
        <v>149</v>
      </c>
      <c r="D283" s="164" t="s">
        <v>150</v>
      </c>
      <c r="E283" s="167" t="s">
        <v>155</v>
      </c>
      <c r="F283" s="164" t="s">
        <v>159</v>
      </c>
      <c r="G283" s="167" t="s">
        <v>161</v>
      </c>
      <c r="H283" s="207" t="s">
        <v>165</v>
      </c>
      <c r="I283" s="216" t="str">
        <f t="shared" si="44"/>
        <v/>
      </c>
      <c r="J283" s="248" t="str">
        <f t="shared" si="45"/>
        <v/>
      </c>
    </row>
    <row r="284" spans="2:10">
      <c r="B284" s="167" t="s">
        <v>20</v>
      </c>
      <c r="C284" s="167" t="s">
        <v>149</v>
      </c>
      <c r="D284" s="164" t="s">
        <v>150</v>
      </c>
      <c r="E284" s="167" t="s">
        <v>155</v>
      </c>
      <c r="F284" s="164" t="s">
        <v>159</v>
      </c>
      <c r="G284" s="167" t="s">
        <v>162</v>
      </c>
      <c r="H284" s="207" t="s">
        <v>164</v>
      </c>
      <c r="I284" s="216" t="str">
        <f t="shared" si="44"/>
        <v/>
      </c>
      <c r="J284" s="248" t="str">
        <f t="shared" si="45"/>
        <v/>
      </c>
    </row>
    <row r="285" spans="2:10">
      <c r="B285" s="167" t="s">
        <v>20</v>
      </c>
      <c r="C285" s="167" t="s">
        <v>149</v>
      </c>
      <c r="D285" s="164" t="s">
        <v>150</v>
      </c>
      <c r="E285" s="167" t="s">
        <v>155</v>
      </c>
      <c r="F285" s="164" t="s">
        <v>159</v>
      </c>
      <c r="G285" s="167" t="s">
        <v>162</v>
      </c>
      <c r="H285" s="207" t="s">
        <v>165</v>
      </c>
      <c r="I285" s="216" t="str">
        <f t="shared" si="44"/>
        <v/>
      </c>
      <c r="J285" s="248" t="str">
        <f t="shared" si="45"/>
        <v/>
      </c>
    </row>
    <row r="286" spans="2:10">
      <c r="B286" s="167" t="s">
        <v>20</v>
      </c>
      <c r="C286" s="167" t="s">
        <v>149</v>
      </c>
      <c r="D286" s="164" t="s">
        <v>150</v>
      </c>
      <c r="E286" s="167" t="s">
        <v>156</v>
      </c>
      <c r="F286" s="164" t="s">
        <v>158</v>
      </c>
      <c r="G286" s="167" t="s">
        <v>161</v>
      </c>
      <c r="H286" s="207" t="s">
        <v>164</v>
      </c>
      <c r="I286" s="216" t="str">
        <f t="shared" si="44"/>
        <v/>
      </c>
      <c r="J286" s="248" t="str">
        <f t="shared" si="45"/>
        <v/>
      </c>
    </row>
    <row r="287" spans="2:10">
      <c r="B287" s="167" t="s">
        <v>20</v>
      </c>
      <c r="C287" s="167" t="s">
        <v>149</v>
      </c>
      <c r="D287" s="164" t="s">
        <v>150</v>
      </c>
      <c r="E287" s="167" t="s">
        <v>156</v>
      </c>
      <c r="F287" s="164" t="s">
        <v>158</v>
      </c>
      <c r="G287" s="167" t="s">
        <v>161</v>
      </c>
      <c r="H287" s="207" t="s">
        <v>165</v>
      </c>
      <c r="I287" s="216" t="str">
        <f t="shared" si="44"/>
        <v/>
      </c>
      <c r="J287" s="248" t="str">
        <f t="shared" si="45"/>
        <v/>
      </c>
    </row>
    <row r="288" spans="2:10">
      <c r="B288" s="167" t="s">
        <v>20</v>
      </c>
      <c r="C288" s="167" t="s">
        <v>149</v>
      </c>
      <c r="D288" s="164" t="s">
        <v>150</v>
      </c>
      <c r="E288" s="167" t="s">
        <v>156</v>
      </c>
      <c r="F288" s="164" t="s">
        <v>158</v>
      </c>
      <c r="G288" s="167" t="s">
        <v>162</v>
      </c>
      <c r="H288" s="207" t="s">
        <v>164</v>
      </c>
      <c r="I288" s="216" t="str">
        <f t="shared" si="44"/>
        <v/>
      </c>
      <c r="J288" s="248" t="str">
        <f t="shared" si="45"/>
        <v/>
      </c>
    </row>
    <row r="289" spans="2:10">
      <c r="B289" s="167" t="s">
        <v>20</v>
      </c>
      <c r="C289" s="167" t="s">
        <v>149</v>
      </c>
      <c r="D289" s="164" t="s">
        <v>150</v>
      </c>
      <c r="E289" s="167" t="s">
        <v>156</v>
      </c>
      <c r="F289" s="164" t="s">
        <v>158</v>
      </c>
      <c r="G289" s="167" t="s">
        <v>162</v>
      </c>
      <c r="H289" s="207" t="s">
        <v>165</v>
      </c>
      <c r="I289" s="216" t="str">
        <f t="shared" si="44"/>
        <v/>
      </c>
      <c r="J289" s="248" t="str">
        <f t="shared" si="45"/>
        <v/>
      </c>
    </row>
    <row r="290" spans="2:10">
      <c r="B290" s="167" t="s">
        <v>20</v>
      </c>
      <c r="C290" s="167" t="s">
        <v>149</v>
      </c>
      <c r="D290" s="164" t="s">
        <v>150</v>
      </c>
      <c r="E290" s="167" t="s">
        <v>156</v>
      </c>
      <c r="F290" s="164" t="s">
        <v>159</v>
      </c>
      <c r="G290" s="167" t="s">
        <v>161</v>
      </c>
      <c r="H290" s="207" t="s">
        <v>164</v>
      </c>
      <c r="I290" s="216" t="str">
        <f t="shared" si="44"/>
        <v/>
      </c>
      <c r="J290" s="248" t="str">
        <f t="shared" si="45"/>
        <v/>
      </c>
    </row>
    <row r="291" spans="2:10">
      <c r="B291" s="167" t="s">
        <v>20</v>
      </c>
      <c r="C291" s="167" t="s">
        <v>149</v>
      </c>
      <c r="D291" s="164" t="s">
        <v>150</v>
      </c>
      <c r="E291" s="167" t="s">
        <v>156</v>
      </c>
      <c r="F291" s="164" t="s">
        <v>159</v>
      </c>
      <c r="G291" s="167" t="s">
        <v>161</v>
      </c>
      <c r="H291" s="207" t="s">
        <v>165</v>
      </c>
      <c r="I291" s="216" t="str">
        <f t="shared" si="44"/>
        <v/>
      </c>
      <c r="J291" s="248" t="str">
        <f t="shared" si="45"/>
        <v/>
      </c>
    </row>
    <row r="292" spans="2:10">
      <c r="B292" s="167" t="s">
        <v>20</v>
      </c>
      <c r="C292" s="167" t="s">
        <v>149</v>
      </c>
      <c r="D292" s="164" t="s">
        <v>150</v>
      </c>
      <c r="E292" s="167" t="s">
        <v>156</v>
      </c>
      <c r="F292" s="164" t="s">
        <v>159</v>
      </c>
      <c r="G292" s="167" t="s">
        <v>162</v>
      </c>
      <c r="H292" s="207" t="s">
        <v>164</v>
      </c>
      <c r="I292" s="216" t="str">
        <f t="shared" si="44"/>
        <v/>
      </c>
      <c r="J292" s="248" t="str">
        <f t="shared" si="45"/>
        <v/>
      </c>
    </row>
    <row r="293" spans="2:10">
      <c r="B293" s="167" t="s">
        <v>20</v>
      </c>
      <c r="C293" s="167" t="s">
        <v>149</v>
      </c>
      <c r="D293" s="164" t="s">
        <v>150</v>
      </c>
      <c r="E293" s="167" t="s">
        <v>156</v>
      </c>
      <c r="F293" s="207" t="s">
        <v>159</v>
      </c>
      <c r="G293" s="166" t="s">
        <v>162</v>
      </c>
      <c r="H293" s="207" t="s">
        <v>165</v>
      </c>
      <c r="I293" s="216" t="str">
        <f t="shared" si="44"/>
        <v/>
      </c>
      <c r="J293" s="248" t="str">
        <f t="shared" si="45"/>
        <v/>
      </c>
    </row>
    <row r="294" spans="2:10">
      <c r="B294" s="167" t="s">
        <v>20</v>
      </c>
      <c r="C294" s="167" t="s">
        <v>149</v>
      </c>
      <c r="D294" s="164" t="s">
        <v>151</v>
      </c>
      <c r="E294" s="167" t="s">
        <v>155</v>
      </c>
      <c r="F294" s="207" t="s">
        <v>158</v>
      </c>
      <c r="G294" s="166" t="s">
        <v>161</v>
      </c>
      <c r="H294" s="207" t="s">
        <v>164</v>
      </c>
      <c r="I294" s="216" t="str">
        <f t="shared" si="44"/>
        <v/>
      </c>
      <c r="J294" s="248" t="str">
        <f t="shared" si="45"/>
        <v/>
      </c>
    </row>
    <row r="295" spans="2:10">
      <c r="B295" s="167" t="s">
        <v>20</v>
      </c>
      <c r="C295" s="167" t="s">
        <v>149</v>
      </c>
      <c r="D295" s="164" t="s">
        <v>151</v>
      </c>
      <c r="E295" s="167" t="s">
        <v>155</v>
      </c>
      <c r="F295" s="207" t="s">
        <v>158</v>
      </c>
      <c r="G295" s="166" t="s">
        <v>161</v>
      </c>
      <c r="H295" s="207" t="s">
        <v>165</v>
      </c>
      <c r="I295" s="216" t="str">
        <f t="shared" si="44"/>
        <v/>
      </c>
      <c r="J295" s="248" t="str">
        <f t="shared" si="45"/>
        <v/>
      </c>
    </row>
    <row r="296" spans="2:10">
      <c r="B296" s="167" t="s">
        <v>20</v>
      </c>
      <c r="C296" s="167" t="s">
        <v>149</v>
      </c>
      <c r="D296" s="164" t="s">
        <v>151</v>
      </c>
      <c r="E296" s="167" t="s">
        <v>155</v>
      </c>
      <c r="F296" s="207" t="s">
        <v>158</v>
      </c>
      <c r="G296" s="166" t="s">
        <v>162</v>
      </c>
      <c r="H296" s="207" t="s">
        <v>164</v>
      </c>
      <c r="I296" s="216" t="str">
        <f t="shared" si="44"/>
        <v/>
      </c>
      <c r="J296" s="248" t="str">
        <f t="shared" si="45"/>
        <v/>
      </c>
    </row>
    <row r="297" spans="2:10">
      <c r="B297" s="166" t="s">
        <v>20</v>
      </c>
      <c r="C297" s="166" t="s">
        <v>149</v>
      </c>
      <c r="D297" s="207" t="s">
        <v>151</v>
      </c>
      <c r="E297" s="167" t="s">
        <v>155</v>
      </c>
      <c r="F297" s="207" t="s">
        <v>158</v>
      </c>
      <c r="G297" s="166" t="s">
        <v>162</v>
      </c>
      <c r="H297" s="207" t="s">
        <v>165</v>
      </c>
      <c r="I297" s="216" t="str">
        <f t="shared" si="44"/>
        <v/>
      </c>
      <c r="J297" s="248" t="str">
        <f t="shared" si="45"/>
        <v/>
      </c>
    </row>
    <row r="298" spans="2:10">
      <c r="B298" s="166" t="s">
        <v>20</v>
      </c>
      <c r="C298" s="166" t="s">
        <v>149</v>
      </c>
      <c r="D298" s="207" t="s">
        <v>151</v>
      </c>
      <c r="E298" s="166" t="s">
        <v>155</v>
      </c>
      <c r="F298" s="207" t="s">
        <v>159</v>
      </c>
      <c r="G298" s="166" t="s">
        <v>161</v>
      </c>
      <c r="H298" s="207" t="s">
        <v>164</v>
      </c>
      <c r="I298" s="216" t="str">
        <f t="shared" si="44"/>
        <v/>
      </c>
      <c r="J298" s="248" t="str">
        <f t="shared" si="45"/>
        <v/>
      </c>
    </row>
    <row r="299" spans="2:10">
      <c r="B299" s="218" t="s">
        <v>20</v>
      </c>
      <c r="C299" s="218" t="s">
        <v>149</v>
      </c>
      <c r="D299" s="214" t="s">
        <v>151</v>
      </c>
      <c r="E299" s="218" t="s">
        <v>155</v>
      </c>
      <c r="F299" s="214" t="s">
        <v>159</v>
      </c>
      <c r="G299" s="218" t="s">
        <v>161</v>
      </c>
      <c r="H299" s="214" t="s">
        <v>165</v>
      </c>
      <c r="I299" s="216" t="str">
        <f t="shared" si="44"/>
        <v/>
      </c>
      <c r="J299" s="248" t="str">
        <f t="shared" si="45"/>
        <v/>
      </c>
    </row>
    <row r="300" spans="2:10">
      <c r="B300" s="222" t="s">
        <v>20</v>
      </c>
      <c r="C300" s="222" t="s">
        <v>149</v>
      </c>
      <c r="D300" s="164" t="s">
        <v>151</v>
      </c>
      <c r="E300" s="220" t="s">
        <v>155</v>
      </c>
      <c r="F300" s="208" t="s">
        <v>159</v>
      </c>
      <c r="G300" s="219" t="s">
        <v>162</v>
      </c>
      <c r="H300" s="209" t="s">
        <v>164</v>
      </c>
      <c r="I300" s="216" t="str">
        <f t="shared" si="44"/>
        <v/>
      </c>
      <c r="J300" s="248" t="str">
        <f t="shared" si="45"/>
        <v/>
      </c>
    </row>
    <row r="301" spans="2:10">
      <c r="B301" s="222" t="s">
        <v>20</v>
      </c>
      <c r="C301" s="222" t="s">
        <v>149</v>
      </c>
      <c r="D301" s="164" t="s">
        <v>151</v>
      </c>
      <c r="E301" s="220" t="s">
        <v>155</v>
      </c>
      <c r="F301" s="208" t="s">
        <v>159</v>
      </c>
      <c r="G301" s="219" t="s">
        <v>162</v>
      </c>
      <c r="H301" s="209" t="s">
        <v>165</v>
      </c>
      <c r="I301" s="216" t="str">
        <f t="shared" si="44"/>
        <v/>
      </c>
      <c r="J301" s="248" t="str">
        <f t="shared" si="45"/>
        <v/>
      </c>
    </row>
    <row r="302" spans="2:10">
      <c r="B302" s="222" t="s">
        <v>20</v>
      </c>
      <c r="C302" s="222" t="s">
        <v>149</v>
      </c>
      <c r="D302" s="164" t="s">
        <v>151</v>
      </c>
      <c r="E302" s="220" t="s">
        <v>156</v>
      </c>
      <c r="F302" s="208" t="s">
        <v>158</v>
      </c>
      <c r="G302" s="219" t="s">
        <v>161</v>
      </c>
      <c r="H302" s="209" t="s">
        <v>164</v>
      </c>
      <c r="I302" s="216" t="str">
        <f t="shared" si="44"/>
        <v/>
      </c>
      <c r="J302" s="248" t="str">
        <f t="shared" si="45"/>
        <v/>
      </c>
    </row>
    <row r="303" spans="2:10">
      <c r="B303" s="222" t="s">
        <v>20</v>
      </c>
      <c r="C303" s="222" t="s">
        <v>149</v>
      </c>
      <c r="D303" s="164" t="s">
        <v>151</v>
      </c>
      <c r="E303" s="220" t="s">
        <v>156</v>
      </c>
      <c r="F303" s="208" t="s">
        <v>158</v>
      </c>
      <c r="G303" s="219" t="s">
        <v>161</v>
      </c>
      <c r="H303" s="209" t="s">
        <v>165</v>
      </c>
      <c r="I303" s="216" t="str">
        <f t="shared" si="44"/>
        <v/>
      </c>
      <c r="J303" s="248" t="str">
        <f t="shared" si="45"/>
        <v/>
      </c>
    </row>
    <row r="304" spans="2:10">
      <c r="B304" s="222" t="s">
        <v>20</v>
      </c>
      <c r="C304" s="222" t="s">
        <v>149</v>
      </c>
      <c r="D304" s="164" t="s">
        <v>151</v>
      </c>
      <c r="E304" s="220" t="s">
        <v>156</v>
      </c>
      <c r="F304" s="208" t="s">
        <v>158</v>
      </c>
      <c r="G304" s="219" t="s">
        <v>162</v>
      </c>
      <c r="H304" s="209" t="s">
        <v>164</v>
      </c>
      <c r="I304" s="216" t="str">
        <f t="shared" si="44"/>
        <v/>
      </c>
      <c r="J304" s="248" t="str">
        <f t="shared" si="45"/>
        <v/>
      </c>
    </row>
    <row r="305" spans="2:10">
      <c r="B305" s="222" t="s">
        <v>20</v>
      </c>
      <c r="C305" s="222" t="s">
        <v>149</v>
      </c>
      <c r="D305" s="164" t="s">
        <v>151</v>
      </c>
      <c r="E305" s="220" t="s">
        <v>156</v>
      </c>
      <c r="F305" s="208" t="s">
        <v>158</v>
      </c>
      <c r="G305" s="219" t="s">
        <v>162</v>
      </c>
      <c r="H305" s="209" t="s">
        <v>165</v>
      </c>
      <c r="I305" s="216" t="str">
        <f t="shared" si="44"/>
        <v/>
      </c>
      <c r="J305" s="248" t="str">
        <f t="shared" si="45"/>
        <v/>
      </c>
    </row>
    <row r="306" spans="2:10">
      <c r="B306" s="223" t="s">
        <v>20</v>
      </c>
      <c r="C306" s="223" t="s">
        <v>149</v>
      </c>
      <c r="D306" s="210" t="s">
        <v>151</v>
      </c>
      <c r="E306" s="221" t="s">
        <v>156</v>
      </c>
      <c r="F306" s="211" t="s">
        <v>159</v>
      </c>
      <c r="G306" s="170" t="s">
        <v>161</v>
      </c>
      <c r="H306" s="212" t="s">
        <v>164</v>
      </c>
      <c r="I306" s="216" t="str">
        <f t="shared" si="44"/>
        <v/>
      </c>
      <c r="J306" s="248" t="str">
        <f t="shared" si="45"/>
        <v/>
      </c>
    </row>
    <row r="307" spans="2:10">
      <c r="B307" s="223" t="s">
        <v>20</v>
      </c>
      <c r="C307" s="223" t="s">
        <v>149</v>
      </c>
      <c r="D307" s="210" t="s">
        <v>151</v>
      </c>
      <c r="E307" s="221" t="s">
        <v>156</v>
      </c>
      <c r="F307" s="211" t="s">
        <v>159</v>
      </c>
      <c r="G307" s="170" t="s">
        <v>161</v>
      </c>
      <c r="H307" s="212" t="s">
        <v>165</v>
      </c>
      <c r="I307" s="216" t="str">
        <f t="shared" si="44"/>
        <v/>
      </c>
      <c r="J307" s="248" t="str">
        <f t="shared" si="45"/>
        <v/>
      </c>
    </row>
    <row r="308" spans="2:10">
      <c r="B308" s="223" t="s">
        <v>20</v>
      </c>
      <c r="C308" s="223" t="s">
        <v>149</v>
      </c>
      <c r="D308" s="210" t="s">
        <v>151</v>
      </c>
      <c r="E308" s="221" t="s">
        <v>156</v>
      </c>
      <c r="F308" s="211" t="s">
        <v>159</v>
      </c>
      <c r="G308" s="170" t="s">
        <v>162</v>
      </c>
      <c r="H308" s="212" t="s">
        <v>164</v>
      </c>
      <c r="I308" s="216" t="str">
        <f t="shared" si="44"/>
        <v/>
      </c>
      <c r="J308" s="248" t="str">
        <f t="shared" si="45"/>
        <v/>
      </c>
    </row>
    <row r="309" spans="2:10">
      <c r="B309" s="223" t="s">
        <v>20</v>
      </c>
      <c r="C309" s="223" t="s">
        <v>149</v>
      </c>
      <c r="D309" s="210" t="s">
        <v>151</v>
      </c>
      <c r="E309" s="221" t="s">
        <v>156</v>
      </c>
      <c r="F309" s="211" t="s">
        <v>159</v>
      </c>
      <c r="G309" s="170" t="s">
        <v>162</v>
      </c>
      <c r="H309" s="212" t="s">
        <v>165</v>
      </c>
      <c r="I309" s="216" t="str">
        <f t="shared" si="44"/>
        <v/>
      </c>
      <c r="J309" s="248" t="str">
        <f t="shared" si="45"/>
        <v/>
      </c>
    </row>
    <row r="310" spans="2:10">
      <c r="B310" s="223" t="s">
        <v>20</v>
      </c>
      <c r="C310" s="223" t="s">
        <v>152</v>
      </c>
      <c r="D310" s="210" t="s">
        <v>150</v>
      </c>
      <c r="E310" s="221" t="s">
        <v>155</v>
      </c>
      <c r="F310" s="211" t="s">
        <v>158</v>
      </c>
      <c r="G310" s="170" t="s">
        <v>161</v>
      </c>
      <c r="H310" s="212" t="s">
        <v>164</v>
      </c>
      <c r="I310" s="216" t="str">
        <f t="shared" ref="I310:I341" si="46">IF(L47="","",L47)</f>
        <v/>
      </c>
      <c r="J310" s="248" t="str">
        <f t="shared" si="45"/>
        <v/>
      </c>
    </row>
    <row r="311" spans="2:10">
      <c r="B311" s="223" t="s">
        <v>20</v>
      </c>
      <c r="C311" s="223" t="s">
        <v>152</v>
      </c>
      <c r="D311" s="210" t="s">
        <v>150</v>
      </c>
      <c r="E311" s="221" t="s">
        <v>155</v>
      </c>
      <c r="F311" s="211" t="s">
        <v>158</v>
      </c>
      <c r="G311" s="170" t="s">
        <v>161</v>
      </c>
      <c r="H311" s="212" t="s">
        <v>165</v>
      </c>
      <c r="I311" s="216" t="str">
        <f t="shared" si="46"/>
        <v/>
      </c>
      <c r="J311" s="248" t="str">
        <f t="shared" si="45"/>
        <v/>
      </c>
    </row>
    <row r="312" spans="2:10">
      <c r="B312" s="223" t="s">
        <v>20</v>
      </c>
      <c r="C312" s="223" t="s">
        <v>152</v>
      </c>
      <c r="D312" s="210" t="s">
        <v>150</v>
      </c>
      <c r="E312" s="221" t="s">
        <v>155</v>
      </c>
      <c r="F312" s="211" t="s">
        <v>158</v>
      </c>
      <c r="G312" s="170" t="s">
        <v>162</v>
      </c>
      <c r="H312" s="212" t="s">
        <v>164</v>
      </c>
      <c r="I312" s="216" t="str">
        <f t="shared" si="46"/>
        <v/>
      </c>
      <c r="J312" s="248" t="str">
        <f t="shared" si="45"/>
        <v/>
      </c>
    </row>
    <row r="313" spans="2:10">
      <c r="B313" s="223" t="s">
        <v>20</v>
      </c>
      <c r="C313" s="223" t="s">
        <v>152</v>
      </c>
      <c r="D313" s="210" t="s">
        <v>150</v>
      </c>
      <c r="E313" s="221" t="s">
        <v>155</v>
      </c>
      <c r="F313" s="211" t="s">
        <v>158</v>
      </c>
      <c r="G313" s="170" t="s">
        <v>162</v>
      </c>
      <c r="H313" s="212" t="s">
        <v>165</v>
      </c>
      <c r="I313" s="216" t="str">
        <f t="shared" si="46"/>
        <v/>
      </c>
      <c r="J313" s="248" t="str">
        <f t="shared" si="45"/>
        <v/>
      </c>
    </row>
    <row r="314" spans="2:10">
      <c r="B314" s="223" t="s">
        <v>20</v>
      </c>
      <c r="C314" s="223" t="s">
        <v>152</v>
      </c>
      <c r="D314" s="210" t="s">
        <v>150</v>
      </c>
      <c r="E314" s="221" t="s">
        <v>155</v>
      </c>
      <c r="F314" s="211" t="s">
        <v>159</v>
      </c>
      <c r="G314" s="170" t="s">
        <v>161</v>
      </c>
      <c r="H314" s="212" t="s">
        <v>164</v>
      </c>
      <c r="I314" s="216" t="str">
        <f t="shared" si="46"/>
        <v/>
      </c>
      <c r="J314" s="248" t="str">
        <f t="shared" si="45"/>
        <v/>
      </c>
    </row>
    <row r="315" spans="2:10">
      <c r="B315" s="223" t="s">
        <v>20</v>
      </c>
      <c r="C315" s="223" t="s">
        <v>152</v>
      </c>
      <c r="D315" s="210" t="s">
        <v>150</v>
      </c>
      <c r="E315" s="221" t="s">
        <v>155</v>
      </c>
      <c r="F315" s="211" t="s">
        <v>159</v>
      </c>
      <c r="G315" s="170" t="s">
        <v>161</v>
      </c>
      <c r="H315" s="212" t="s">
        <v>165</v>
      </c>
      <c r="I315" s="216" t="str">
        <f t="shared" si="46"/>
        <v/>
      </c>
      <c r="J315" s="248" t="str">
        <f t="shared" si="45"/>
        <v/>
      </c>
    </row>
    <row r="316" spans="2:10">
      <c r="B316" s="223" t="s">
        <v>20</v>
      </c>
      <c r="C316" s="223" t="s">
        <v>152</v>
      </c>
      <c r="D316" s="210" t="s">
        <v>150</v>
      </c>
      <c r="E316" s="221" t="s">
        <v>155</v>
      </c>
      <c r="F316" s="211" t="s">
        <v>159</v>
      </c>
      <c r="G316" s="170" t="s">
        <v>162</v>
      </c>
      <c r="H316" s="212" t="s">
        <v>164</v>
      </c>
      <c r="I316" s="216" t="str">
        <f t="shared" si="46"/>
        <v/>
      </c>
      <c r="J316" s="248" t="str">
        <f t="shared" si="45"/>
        <v/>
      </c>
    </row>
    <row r="317" spans="2:10">
      <c r="B317" s="223" t="s">
        <v>20</v>
      </c>
      <c r="C317" s="223" t="s">
        <v>152</v>
      </c>
      <c r="D317" s="210" t="s">
        <v>150</v>
      </c>
      <c r="E317" s="221" t="s">
        <v>155</v>
      </c>
      <c r="F317" s="211" t="s">
        <v>159</v>
      </c>
      <c r="G317" s="170" t="s">
        <v>162</v>
      </c>
      <c r="H317" s="212" t="s">
        <v>165</v>
      </c>
      <c r="I317" s="216" t="str">
        <f t="shared" si="46"/>
        <v/>
      </c>
      <c r="J317" s="248" t="str">
        <f t="shared" si="45"/>
        <v/>
      </c>
    </row>
    <row r="318" spans="2:10">
      <c r="B318" s="223" t="s">
        <v>20</v>
      </c>
      <c r="C318" s="223" t="s">
        <v>152</v>
      </c>
      <c r="D318" s="210" t="s">
        <v>150</v>
      </c>
      <c r="E318" s="221" t="s">
        <v>156</v>
      </c>
      <c r="F318" s="211" t="s">
        <v>158</v>
      </c>
      <c r="G318" s="170" t="s">
        <v>161</v>
      </c>
      <c r="H318" s="212" t="s">
        <v>164</v>
      </c>
      <c r="I318" s="216" t="str">
        <f t="shared" si="46"/>
        <v/>
      </c>
      <c r="J318" s="248" t="str">
        <f t="shared" si="45"/>
        <v/>
      </c>
    </row>
    <row r="319" spans="2:10">
      <c r="B319" s="223" t="s">
        <v>20</v>
      </c>
      <c r="C319" s="223" t="s">
        <v>152</v>
      </c>
      <c r="D319" s="210" t="s">
        <v>150</v>
      </c>
      <c r="E319" s="221" t="s">
        <v>156</v>
      </c>
      <c r="F319" s="211" t="s">
        <v>158</v>
      </c>
      <c r="G319" s="170" t="s">
        <v>161</v>
      </c>
      <c r="H319" s="212" t="s">
        <v>165</v>
      </c>
      <c r="I319" s="216" t="str">
        <f t="shared" si="46"/>
        <v/>
      </c>
      <c r="J319" s="248" t="str">
        <f t="shared" si="45"/>
        <v/>
      </c>
    </row>
    <row r="320" spans="2:10">
      <c r="B320" s="223" t="s">
        <v>20</v>
      </c>
      <c r="C320" s="223" t="s">
        <v>152</v>
      </c>
      <c r="D320" s="210" t="s">
        <v>150</v>
      </c>
      <c r="E320" s="221" t="s">
        <v>156</v>
      </c>
      <c r="F320" s="211" t="s">
        <v>158</v>
      </c>
      <c r="G320" s="170" t="s">
        <v>162</v>
      </c>
      <c r="H320" s="212" t="s">
        <v>164</v>
      </c>
      <c r="I320" s="216" t="str">
        <f t="shared" si="46"/>
        <v/>
      </c>
      <c r="J320" s="248" t="str">
        <f t="shared" si="45"/>
        <v/>
      </c>
    </row>
    <row r="321" spans="2:10">
      <c r="B321" s="166" t="s">
        <v>20</v>
      </c>
      <c r="C321" s="166" t="s">
        <v>152</v>
      </c>
      <c r="D321" s="164" t="s">
        <v>150</v>
      </c>
      <c r="E321" s="220" t="s">
        <v>156</v>
      </c>
      <c r="F321" s="208" t="s">
        <v>158</v>
      </c>
      <c r="G321" s="166" t="s">
        <v>162</v>
      </c>
      <c r="H321" s="207" t="s">
        <v>165</v>
      </c>
      <c r="I321" s="216" t="str">
        <f t="shared" si="46"/>
        <v/>
      </c>
      <c r="J321" s="248" t="str">
        <f t="shared" si="45"/>
        <v/>
      </c>
    </row>
    <row r="322" spans="2:10">
      <c r="B322" s="166" t="s">
        <v>20</v>
      </c>
      <c r="C322" s="166" t="s">
        <v>152</v>
      </c>
      <c r="D322" s="164" t="s">
        <v>150</v>
      </c>
      <c r="E322" s="220" t="s">
        <v>156</v>
      </c>
      <c r="F322" s="208" t="s">
        <v>159</v>
      </c>
      <c r="G322" s="166" t="s">
        <v>161</v>
      </c>
      <c r="H322" s="207" t="s">
        <v>164</v>
      </c>
      <c r="I322" s="216" t="str">
        <f t="shared" si="46"/>
        <v/>
      </c>
      <c r="J322" s="248" t="str">
        <f t="shared" si="45"/>
        <v/>
      </c>
    </row>
    <row r="323" spans="2:10">
      <c r="B323" s="166" t="s">
        <v>20</v>
      </c>
      <c r="C323" s="166" t="s">
        <v>152</v>
      </c>
      <c r="D323" s="207" t="s">
        <v>150</v>
      </c>
      <c r="E323" s="166" t="s">
        <v>156</v>
      </c>
      <c r="F323" s="207" t="s">
        <v>159</v>
      </c>
      <c r="G323" s="166" t="s">
        <v>161</v>
      </c>
      <c r="H323" s="207" t="s">
        <v>165</v>
      </c>
      <c r="I323" s="216" t="str">
        <f t="shared" si="46"/>
        <v/>
      </c>
      <c r="J323" s="248" t="str">
        <f t="shared" si="45"/>
        <v/>
      </c>
    </row>
    <row r="324" spans="2:10">
      <c r="B324" s="166" t="s">
        <v>20</v>
      </c>
      <c r="C324" s="166" t="s">
        <v>152</v>
      </c>
      <c r="D324" s="213" t="s">
        <v>150</v>
      </c>
      <c r="E324" s="166" t="s">
        <v>156</v>
      </c>
      <c r="F324" s="213" t="s">
        <v>159</v>
      </c>
      <c r="G324" s="166" t="s">
        <v>162</v>
      </c>
      <c r="H324" s="213" t="s">
        <v>164</v>
      </c>
      <c r="I324" s="216" t="str">
        <f t="shared" si="46"/>
        <v/>
      </c>
      <c r="J324" s="248" t="str">
        <f t="shared" si="45"/>
        <v/>
      </c>
    </row>
    <row r="325" spans="2:10">
      <c r="B325" s="166" t="s">
        <v>20</v>
      </c>
      <c r="C325" s="166" t="s">
        <v>152</v>
      </c>
      <c r="D325" s="213" t="s">
        <v>150</v>
      </c>
      <c r="E325" s="166" t="s">
        <v>156</v>
      </c>
      <c r="F325" s="213" t="s">
        <v>159</v>
      </c>
      <c r="G325" s="166" t="s">
        <v>162</v>
      </c>
      <c r="H325" s="213" t="s">
        <v>165</v>
      </c>
      <c r="I325" s="216" t="str">
        <f t="shared" si="46"/>
        <v/>
      </c>
      <c r="J325" s="248" t="str">
        <f t="shared" si="45"/>
        <v/>
      </c>
    </row>
    <row r="326" spans="2:10">
      <c r="B326" s="166" t="s">
        <v>20</v>
      </c>
      <c r="C326" s="166" t="s">
        <v>152</v>
      </c>
      <c r="D326" s="213" t="s">
        <v>151</v>
      </c>
      <c r="E326" s="166" t="s">
        <v>155</v>
      </c>
      <c r="F326" s="213" t="s">
        <v>158</v>
      </c>
      <c r="G326" s="166" t="s">
        <v>161</v>
      </c>
      <c r="H326" s="213" t="s">
        <v>164</v>
      </c>
      <c r="I326" s="216" t="str">
        <f t="shared" si="46"/>
        <v/>
      </c>
      <c r="J326" s="248" t="str">
        <f t="shared" si="45"/>
        <v/>
      </c>
    </row>
    <row r="327" spans="2:10">
      <c r="B327" s="166" t="s">
        <v>20</v>
      </c>
      <c r="C327" s="166" t="s">
        <v>152</v>
      </c>
      <c r="D327" s="213" t="s">
        <v>151</v>
      </c>
      <c r="E327" s="166" t="s">
        <v>155</v>
      </c>
      <c r="F327" s="213" t="s">
        <v>158</v>
      </c>
      <c r="G327" s="166" t="s">
        <v>161</v>
      </c>
      <c r="H327" s="213" t="s">
        <v>165</v>
      </c>
      <c r="I327" s="216" t="str">
        <f t="shared" si="46"/>
        <v/>
      </c>
      <c r="J327" s="248" t="str">
        <f t="shared" si="45"/>
        <v/>
      </c>
    </row>
    <row r="328" spans="2:10">
      <c r="B328" s="166" t="s">
        <v>20</v>
      </c>
      <c r="C328" s="166" t="s">
        <v>152</v>
      </c>
      <c r="D328" s="213" t="s">
        <v>151</v>
      </c>
      <c r="E328" s="166" t="s">
        <v>155</v>
      </c>
      <c r="F328" s="213" t="s">
        <v>158</v>
      </c>
      <c r="G328" s="166" t="s">
        <v>162</v>
      </c>
      <c r="H328" s="213" t="s">
        <v>164</v>
      </c>
      <c r="I328" s="216" t="str">
        <f t="shared" si="46"/>
        <v/>
      </c>
      <c r="J328" s="248" t="str">
        <f t="shared" si="45"/>
        <v/>
      </c>
    </row>
    <row r="329" spans="2:10">
      <c r="B329" s="166" t="s">
        <v>20</v>
      </c>
      <c r="C329" s="166" t="s">
        <v>152</v>
      </c>
      <c r="D329" s="213" t="s">
        <v>151</v>
      </c>
      <c r="E329" s="166" t="s">
        <v>155</v>
      </c>
      <c r="F329" s="213" t="s">
        <v>158</v>
      </c>
      <c r="G329" s="166" t="s">
        <v>162</v>
      </c>
      <c r="H329" s="213" t="s">
        <v>165</v>
      </c>
      <c r="I329" s="216" t="str">
        <f t="shared" si="46"/>
        <v/>
      </c>
      <c r="J329" s="248" t="str">
        <f t="shared" si="45"/>
        <v/>
      </c>
    </row>
    <row r="330" spans="2:10">
      <c r="B330" s="166" t="s">
        <v>20</v>
      </c>
      <c r="C330" s="166" t="s">
        <v>152</v>
      </c>
      <c r="D330" s="213" t="s">
        <v>151</v>
      </c>
      <c r="E330" s="166" t="s">
        <v>155</v>
      </c>
      <c r="F330" s="213" t="s">
        <v>159</v>
      </c>
      <c r="G330" s="166" t="s">
        <v>161</v>
      </c>
      <c r="H330" s="213" t="s">
        <v>164</v>
      </c>
      <c r="I330" s="216" t="str">
        <f t="shared" si="46"/>
        <v/>
      </c>
      <c r="J330" s="248" t="str">
        <f t="shared" si="45"/>
        <v/>
      </c>
    </row>
    <row r="331" spans="2:10">
      <c r="B331" s="166" t="s">
        <v>20</v>
      </c>
      <c r="C331" s="166" t="s">
        <v>152</v>
      </c>
      <c r="D331" s="213" t="s">
        <v>151</v>
      </c>
      <c r="E331" s="166" t="s">
        <v>155</v>
      </c>
      <c r="F331" s="213" t="s">
        <v>159</v>
      </c>
      <c r="G331" s="166" t="s">
        <v>161</v>
      </c>
      <c r="H331" s="213" t="s">
        <v>165</v>
      </c>
      <c r="I331" s="216" t="str">
        <f t="shared" si="46"/>
        <v/>
      </c>
      <c r="J331" s="248" t="str">
        <f t="shared" si="45"/>
        <v/>
      </c>
    </row>
    <row r="332" spans="2:10">
      <c r="B332" s="166" t="s">
        <v>20</v>
      </c>
      <c r="C332" s="166" t="s">
        <v>152</v>
      </c>
      <c r="D332" s="213" t="s">
        <v>151</v>
      </c>
      <c r="E332" s="166" t="s">
        <v>155</v>
      </c>
      <c r="F332" s="213" t="s">
        <v>159</v>
      </c>
      <c r="G332" s="166" t="s">
        <v>162</v>
      </c>
      <c r="H332" s="213" t="s">
        <v>164</v>
      </c>
      <c r="I332" s="216" t="str">
        <f t="shared" si="46"/>
        <v/>
      </c>
      <c r="J332" s="248" t="str">
        <f t="shared" si="45"/>
        <v/>
      </c>
    </row>
    <row r="333" spans="2:10">
      <c r="B333" s="166" t="s">
        <v>20</v>
      </c>
      <c r="C333" s="166" t="s">
        <v>152</v>
      </c>
      <c r="D333" s="213" t="s">
        <v>151</v>
      </c>
      <c r="E333" s="166" t="s">
        <v>155</v>
      </c>
      <c r="F333" s="213" t="s">
        <v>159</v>
      </c>
      <c r="G333" s="166" t="s">
        <v>162</v>
      </c>
      <c r="H333" s="213" t="s">
        <v>165</v>
      </c>
      <c r="I333" s="216" t="str">
        <f t="shared" si="46"/>
        <v/>
      </c>
      <c r="J333" s="248" t="str">
        <f t="shared" si="45"/>
        <v/>
      </c>
    </row>
    <row r="334" spans="2:10">
      <c r="B334" s="166" t="s">
        <v>20</v>
      </c>
      <c r="C334" s="166" t="s">
        <v>152</v>
      </c>
      <c r="D334" s="213" t="s">
        <v>151</v>
      </c>
      <c r="E334" s="166" t="s">
        <v>156</v>
      </c>
      <c r="F334" s="213" t="s">
        <v>158</v>
      </c>
      <c r="G334" s="166" t="s">
        <v>161</v>
      </c>
      <c r="H334" s="213" t="s">
        <v>164</v>
      </c>
      <c r="I334" s="216" t="str">
        <f t="shared" si="46"/>
        <v/>
      </c>
      <c r="J334" s="248" t="str">
        <f t="shared" si="45"/>
        <v/>
      </c>
    </row>
    <row r="335" spans="2:10">
      <c r="B335" s="166" t="s">
        <v>20</v>
      </c>
      <c r="C335" s="166" t="s">
        <v>152</v>
      </c>
      <c r="D335" s="213" t="s">
        <v>151</v>
      </c>
      <c r="E335" s="166" t="s">
        <v>156</v>
      </c>
      <c r="F335" s="213" t="s">
        <v>158</v>
      </c>
      <c r="G335" s="166" t="s">
        <v>161</v>
      </c>
      <c r="H335" s="213" t="s">
        <v>165</v>
      </c>
      <c r="I335" s="216" t="str">
        <f t="shared" si="46"/>
        <v/>
      </c>
      <c r="J335" s="248" t="str">
        <f t="shared" si="45"/>
        <v/>
      </c>
    </row>
    <row r="336" spans="2:10">
      <c r="B336" s="166" t="s">
        <v>20</v>
      </c>
      <c r="C336" s="166" t="s">
        <v>152</v>
      </c>
      <c r="D336" s="213" t="s">
        <v>151</v>
      </c>
      <c r="E336" s="166" t="s">
        <v>156</v>
      </c>
      <c r="F336" s="213" t="s">
        <v>158</v>
      </c>
      <c r="G336" s="166" t="s">
        <v>162</v>
      </c>
      <c r="H336" s="213" t="s">
        <v>164</v>
      </c>
      <c r="I336" s="216" t="str">
        <f t="shared" si="46"/>
        <v/>
      </c>
      <c r="J336" s="248" t="str">
        <f t="shared" si="45"/>
        <v/>
      </c>
    </row>
    <row r="337" spans="2:10">
      <c r="B337" s="166" t="s">
        <v>20</v>
      </c>
      <c r="C337" s="166" t="s">
        <v>152</v>
      </c>
      <c r="D337" s="213" t="s">
        <v>151</v>
      </c>
      <c r="E337" s="166" t="s">
        <v>156</v>
      </c>
      <c r="F337" s="213" t="s">
        <v>158</v>
      </c>
      <c r="G337" s="166" t="s">
        <v>162</v>
      </c>
      <c r="H337" s="213" t="s">
        <v>165</v>
      </c>
      <c r="I337" s="216" t="str">
        <f t="shared" si="46"/>
        <v/>
      </c>
      <c r="J337" s="248" t="str">
        <f t="shared" si="45"/>
        <v/>
      </c>
    </row>
    <row r="338" spans="2:10">
      <c r="B338" s="166" t="s">
        <v>20</v>
      </c>
      <c r="C338" s="166" t="s">
        <v>152</v>
      </c>
      <c r="D338" s="213" t="s">
        <v>151</v>
      </c>
      <c r="E338" s="166" t="s">
        <v>156</v>
      </c>
      <c r="F338" s="213" t="s">
        <v>159</v>
      </c>
      <c r="G338" s="166" t="s">
        <v>161</v>
      </c>
      <c r="H338" s="213" t="s">
        <v>164</v>
      </c>
      <c r="I338" s="216" t="str">
        <f t="shared" si="46"/>
        <v/>
      </c>
      <c r="J338" s="248" t="str">
        <f t="shared" si="45"/>
        <v/>
      </c>
    </row>
    <row r="339" spans="2:10">
      <c r="B339" s="166" t="s">
        <v>20</v>
      </c>
      <c r="C339" s="166" t="s">
        <v>152</v>
      </c>
      <c r="D339" s="213" t="s">
        <v>151</v>
      </c>
      <c r="E339" s="166" t="s">
        <v>156</v>
      </c>
      <c r="F339" s="213" t="s">
        <v>159</v>
      </c>
      <c r="G339" s="166" t="s">
        <v>161</v>
      </c>
      <c r="H339" s="213" t="s">
        <v>165</v>
      </c>
      <c r="I339" s="216" t="str">
        <f t="shared" si="46"/>
        <v/>
      </c>
      <c r="J339" s="248" t="str">
        <f t="shared" si="45"/>
        <v/>
      </c>
    </row>
    <row r="340" spans="2:10">
      <c r="B340" s="166" t="s">
        <v>20</v>
      </c>
      <c r="C340" s="166" t="s">
        <v>152</v>
      </c>
      <c r="D340" s="213" t="s">
        <v>151</v>
      </c>
      <c r="E340" s="166" t="s">
        <v>156</v>
      </c>
      <c r="F340" s="213" t="s">
        <v>159</v>
      </c>
      <c r="G340" s="166" t="s">
        <v>162</v>
      </c>
      <c r="H340" s="213" t="s">
        <v>164</v>
      </c>
      <c r="I340" s="216" t="str">
        <f t="shared" si="46"/>
        <v/>
      </c>
      <c r="J340" s="248" t="str">
        <f t="shared" si="45"/>
        <v/>
      </c>
    </row>
    <row r="341" spans="2:10">
      <c r="B341" s="168" t="s">
        <v>20</v>
      </c>
      <c r="C341" s="168" t="s">
        <v>152</v>
      </c>
      <c r="D341" s="215" t="s">
        <v>151</v>
      </c>
      <c r="E341" s="168" t="s">
        <v>156</v>
      </c>
      <c r="F341" s="215" t="s">
        <v>159</v>
      </c>
      <c r="G341" s="168" t="s">
        <v>162</v>
      </c>
      <c r="H341" s="215" t="s">
        <v>165</v>
      </c>
      <c r="I341" s="217" t="str">
        <f t="shared" si="46"/>
        <v/>
      </c>
      <c r="J341" s="249" t="str">
        <f t="shared" si="45"/>
        <v/>
      </c>
    </row>
    <row r="342" spans="2:10">
      <c r="B342" s="167" t="s">
        <v>21</v>
      </c>
      <c r="C342" s="167" t="s">
        <v>149</v>
      </c>
      <c r="D342" s="164" t="s">
        <v>150</v>
      </c>
      <c r="E342" s="167" t="s">
        <v>155</v>
      </c>
      <c r="F342" s="164" t="s">
        <v>158</v>
      </c>
      <c r="G342" s="167" t="s">
        <v>161</v>
      </c>
      <c r="H342" s="207" t="s">
        <v>164</v>
      </c>
      <c r="I342" s="216" t="str">
        <f t="shared" ref="I342:I373" si="47">IF(M15="","",M15)</f>
        <v/>
      </c>
      <c r="J342" s="247" t="str">
        <f t="shared" si="45"/>
        <v/>
      </c>
    </row>
    <row r="343" spans="2:10">
      <c r="B343" s="167" t="s">
        <v>21</v>
      </c>
      <c r="C343" s="167" t="s">
        <v>149</v>
      </c>
      <c r="D343" s="164" t="s">
        <v>150</v>
      </c>
      <c r="E343" s="167" t="s">
        <v>155</v>
      </c>
      <c r="F343" s="164" t="s">
        <v>158</v>
      </c>
      <c r="G343" s="167" t="s">
        <v>161</v>
      </c>
      <c r="H343" s="207" t="s">
        <v>165</v>
      </c>
      <c r="I343" s="216" t="str">
        <f t="shared" si="47"/>
        <v/>
      </c>
      <c r="J343" s="248" t="str">
        <f t="shared" ref="J343:J405" si="48">IF(I343="","",CONCATENATE(C343,"_",D343,"_",E343,"_",F343,"_",G343,"_",H343))</f>
        <v/>
      </c>
    </row>
    <row r="344" spans="2:10">
      <c r="B344" s="167" t="s">
        <v>21</v>
      </c>
      <c r="C344" s="167" t="s">
        <v>149</v>
      </c>
      <c r="D344" s="164" t="s">
        <v>150</v>
      </c>
      <c r="E344" s="167" t="s">
        <v>155</v>
      </c>
      <c r="F344" s="164" t="s">
        <v>158</v>
      </c>
      <c r="G344" s="167" t="s">
        <v>162</v>
      </c>
      <c r="H344" s="207" t="s">
        <v>164</v>
      </c>
      <c r="I344" s="216" t="str">
        <f t="shared" si="47"/>
        <v/>
      </c>
      <c r="J344" s="248" t="str">
        <f t="shared" si="48"/>
        <v/>
      </c>
    </row>
    <row r="345" spans="2:10">
      <c r="B345" s="167" t="s">
        <v>21</v>
      </c>
      <c r="C345" s="167" t="s">
        <v>149</v>
      </c>
      <c r="D345" s="164" t="s">
        <v>150</v>
      </c>
      <c r="E345" s="167" t="s">
        <v>155</v>
      </c>
      <c r="F345" s="164" t="s">
        <v>158</v>
      </c>
      <c r="G345" s="167" t="s">
        <v>162</v>
      </c>
      <c r="H345" s="207" t="s">
        <v>165</v>
      </c>
      <c r="I345" s="216" t="str">
        <f t="shared" si="47"/>
        <v/>
      </c>
      <c r="J345" s="248" t="str">
        <f t="shared" si="48"/>
        <v/>
      </c>
    </row>
    <row r="346" spans="2:10">
      <c r="B346" s="167" t="s">
        <v>21</v>
      </c>
      <c r="C346" s="167" t="s">
        <v>149</v>
      </c>
      <c r="D346" s="164" t="s">
        <v>150</v>
      </c>
      <c r="E346" s="167" t="s">
        <v>155</v>
      </c>
      <c r="F346" s="164" t="s">
        <v>159</v>
      </c>
      <c r="G346" s="167" t="s">
        <v>161</v>
      </c>
      <c r="H346" s="207" t="s">
        <v>164</v>
      </c>
      <c r="I346" s="216" t="str">
        <f t="shared" si="47"/>
        <v/>
      </c>
      <c r="J346" s="248" t="str">
        <f t="shared" si="48"/>
        <v/>
      </c>
    </row>
    <row r="347" spans="2:10">
      <c r="B347" s="167" t="s">
        <v>21</v>
      </c>
      <c r="C347" s="167" t="s">
        <v>149</v>
      </c>
      <c r="D347" s="164" t="s">
        <v>150</v>
      </c>
      <c r="E347" s="167" t="s">
        <v>155</v>
      </c>
      <c r="F347" s="164" t="s">
        <v>159</v>
      </c>
      <c r="G347" s="167" t="s">
        <v>161</v>
      </c>
      <c r="H347" s="207" t="s">
        <v>165</v>
      </c>
      <c r="I347" s="216" t="str">
        <f t="shared" si="47"/>
        <v/>
      </c>
      <c r="J347" s="248" t="str">
        <f t="shared" si="48"/>
        <v/>
      </c>
    </row>
    <row r="348" spans="2:10">
      <c r="B348" s="167" t="s">
        <v>21</v>
      </c>
      <c r="C348" s="167" t="s">
        <v>149</v>
      </c>
      <c r="D348" s="164" t="s">
        <v>150</v>
      </c>
      <c r="E348" s="167" t="s">
        <v>155</v>
      </c>
      <c r="F348" s="164" t="s">
        <v>159</v>
      </c>
      <c r="G348" s="167" t="s">
        <v>162</v>
      </c>
      <c r="H348" s="207" t="s">
        <v>164</v>
      </c>
      <c r="I348" s="216" t="str">
        <f t="shared" si="47"/>
        <v/>
      </c>
      <c r="J348" s="248" t="str">
        <f t="shared" si="48"/>
        <v/>
      </c>
    </row>
    <row r="349" spans="2:10">
      <c r="B349" s="167" t="s">
        <v>21</v>
      </c>
      <c r="C349" s="167" t="s">
        <v>149</v>
      </c>
      <c r="D349" s="164" t="s">
        <v>150</v>
      </c>
      <c r="E349" s="167" t="s">
        <v>155</v>
      </c>
      <c r="F349" s="164" t="s">
        <v>159</v>
      </c>
      <c r="G349" s="167" t="s">
        <v>162</v>
      </c>
      <c r="H349" s="207" t="s">
        <v>165</v>
      </c>
      <c r="I349" s="216" t="str">
        <f t="shared" si="47"/>
        <v/>
      </c>
      <c r="J349" s="248" t="str">
        <f t="shared" si="48"/>
        <v/>
      </c>
    </row>
    <row r="350" spans="2:10">
      <c r="B350" s="167" t="s">
        <v>21</v>
      </c>
      <c r="C350" s="167" t="s">
        <v>149</v>
      </c>
      <c r="D350" s="164" t="s">
        <v>150</v>
      </c>
      <c r="E350" s="167" t="s">
        <v>156</v>
      </c>
      <c r="F350" s="164" t="s">
        <v>158</v>
      </c>
      <c r="G350" s="167" t="s">
        <v>161</v>
      </c>
      <c r="H350" s="207" t="s">
        <v>164</v>
      </c>
      <c r="I350" s="216" t="str">
        <f t="shared" si="47"/>
        <v/>
      </c>
      <c r="J350" s="248" t="str">
        <f t="shared" si="48"/>
        <v/>
      </c>
    </row>
    <row r="351" spans="2:10">
      <c r="B351" s="167" t="s">
        <v>21</v>
      </c>
      <c r="C351" s="167" t="s">
        <v>149</v>
      </c>
      <c r="D351" s="164" t="s">
        <v>150</v>
      </c>
      <c r="E351" s="167" t="s">
        <v>156</v>
      </c>
      <c r="F351" s="164" t="s">
        <v>158</v>
      </c>
      <c r="G351" s="167" t="s">
        <v>161</v>
      </c>
      <c r="H351" s="207" t="s">
        <v>165</v>
      </c>
      <c r="I351" s="216" t="str">
        <f t="shared" si="47"/>
        <v/>
      </c>
      <c r="J351" s="248" t="str">
        <f t="shared" si="48"/>
        <v/>
      </c>
    </row>
    <row r="352" spans="2:10">
      <c r="B352" s="167" t="s">
        <v>21</v>
      </c>
      <c r="C352" s="167" t="s">
        <v>149</v>
      </c>
      <c r="D352" s="164" t="s">
        <v>150</v>
      </c>
      <c r="E352" s="167" t="s">
        <v>156</v>
      </c>
      <c r="F352" s="164" t="s">
        <v>158</v>
      </c>
      <c r="G352" s="167" t="s">
        <v>162</v>
      </c>
      <c r="H352" s="207" t="s">
        <v>164</v>
      </c>
      <c r="I352" s="216" t="str">
        <f t="shared" si="47"/>
        <v/>
      </c>
      <c r="J352" s="248" t="str">
        <f t="shared" si="48"/>
        <v/>
      </c>
    </row>
    <row r="353" spans="2:10">
      <c r="B353" s="167" t="s">
        <v>21</v>
      </c>
      <c r="C353" s="167" t="s">
        <v>149</v>
      </c>
      <c r="D353" s="164" t="s">
        <v>150</v>
      </c>
      <c r="E353" s="167" t="s">
        <v>156</v>
      </c>
      <c r="F353" s="164" t="s">
        <v>158</v>
      </c>
      <c r="G353" s="167" t="s">
        <v>162</v>
      </c>
      <c r="H353" s="207" t="s">
        <v>165</v>
      </c>
      <c r="I353" s="216" t="str">
        <f t="shared" si="47"/>
        <v/>
      </c>
      <c r="J353" s="248" t="str">
        <f t="shared" si="48"/>
        <v/>
      </c>
    </row>
    <row r="354" spans="2:10">
      <c r="B354" s="167" t="s">
        <v>21</v>
      </c>
      <c r="C354" s="167" t="s">
        <v>149</v>
      </c>
      <c r="D354" s="164" t="s">
        <v>150</v>
      </c>
      <c r="E354" s="167" t="s">
        <v>156</v>
      </c>
      <c r="F354" s="164" t="s">
        <v>159</v>
      </c>
      <c r="G354" s="167" t="s">
        <v>161</v>
      </c>
      <c r="H354" s="207" t="s">
        <v>164</v>
      </c>
      <c r="I354" s="216" t="str">
        <f t="shared" si="47"/>
        <v/>
      </c>
      <c r="J354" s="248" t="str">
        <f t="shared" si="48"/>
        <v/>
      </c>
    </row>
    <row r="355" spans="2:10">
      <c r="B355" s="167" t="s">
        <v>21</v>
      </c>
      <c r="C355" s="167" t="s">
        <v>149</v>
      </c>
      <c r="D355" s="164" t="s">
        <v>150</v>
      </c>
      <c r="E355" s="167" t="s">
        <v>156</v>
      </c>
      <c r="F355" s="164" t="s">
        <v>159</v>
      </c>
      <c r="G355" s="167" t="s">
        <v>161</v>
      </c>
      <c r="H355" s="207" t="s">
        <v>165</v>
      </c>
      <c r="I355" s="216" t="str">
        <f t="shared" si="47"/>
        <v/>
      </c>
      <c r="J355" s="248" t="str">
        <f t="shared" si="48"/>
        <v/>
      </c>
    </row>
    <row r="356" spans="2:10">
      <c r="B356" s="167" t="s">
        <v>21</v>
      </c>
      <c r="C356" s="167" t="s">
        <v>149</v>
      </c>
      <c r="D356" s="164" t="s">
        <v>150</v>
      </c>
      <c r="E356" s="167" t="s">
        <v>156</v>
      </c>
      <c r="F356" s="164" t="s">
        <v>159</v>
      </c>
      <c r="G356" s="167" t="s">
        <v>162</v>
      </c>
      <c r="H356" s="207" t="s">
        <v>164</v>
      </c>
      <c r="I356" s="216" t="str">
        <f t="shared" si="47"/>
        <v/>
      </c>
      <c r="J356" s="248" t="str">
        <f t="shared" si="48"/>
        <v/>
      </c>
    </row>
    <row r="357" spans="2:10">
      <c r="B357" s="167" t="s">
        <v>21</v>
      </c>
      <c r="C357" s="167" t="s">
        <v>149</v>
      </c>
      <c r="D357" s="164" t="s">
        <v>150</v>
      </c>
      <c r="E357" s="167" t="s">
        <v>156</v>
      </c>
      <c r="F357" s="207" t="s">
        <v>159</v>
      </c>
      <c r="G357" s="166" t="s">
        <v>162</v>
      </c>
      <c r="H357" s="207" t="s">
        <v>165</v>
      </c>
      <c r="I357" s="216" t="str">
        <f t="shared" si="47"/>
        <v/>
      </c>
      <c r="J357" s="248" t="str">
        <f t="shared" si="48"/>
        <v/>
      </c>
    </row>
    <row r="358" spans="2:10">
      <c r="B358" s="167" t="s">
        <v>21</v>
      </c>
      <c r="C358" s="167" t="s">
        <v>149</v>
      </c>
      <c r="D358" s="164" t="s">
        <v>151</v>
      </c>
      <c r="E358" s="167" t="s">
        <v>155</v>
      </c>
      <c r="F358" s="207" t="s">
        <v>158</v>
      </c>
      <c r="G358" s="166" t="s">
        <v>161</v>
      </c>
      <c r="H358" s="207" t="s">
        <v>164</v>
      </c>
      <c r="I358" s="216" t="str">
        <f t="shared" si="47"/>
        <v/>
      </c>
      <c r="J358" s="248" t="str">
        <f t="shared" si="48"/>
        <v/>
      </c>
    </row>
    <row r="359" spans="2:10">
      <c r="B359" s="167" t="s">
        <v>21</v>
      </c>
      <c r="C359" s="167" t="s">
        <v>149</v>
      </c>
      <c r="D359" s="164" t="s">
        <v>151</v>
      </c>
      <c r="E359" s="167" t="s">
        <v>155</v>
      </c>
      <c r="F359" s="207" t="s">
        <v>158</v>
      </c>
      <c r="G359" s="166" t="s">
        <v>161</v>
      </c>
      <c r="H359" s="207" t="s">
        <v>165</v>
      </c>
      <c r="I359" s="216" t="str">
        <f t="shared" si="47"/>
        <v/>
      </c>
      <c r="J359" s="248" t="str">
        <f t="shared" si="48"/>
        <v/>
      </c>
    </row>
    <row r="360" spans="2:10">
      <c r="B360" s="167" t="s">
        <v>21</v>
      </c>
      <c r="C360" s="167" t="s">
        <v>149</v>
      </c>
      <c r="D360" s="164" t="s">
        <v>151</v>
      </c>
      <c r="E360" s="167" t="s">
        <v>155</v>
      </c>
      <c r="F360" s="207" t="s">
        <v>158</v>
      </c>
      <c r="G360" s="166" t="s">
        <v>162</v>
      </c>
      <c r="H360" s="207" t="s">
        <v>164</v>
      </c>
      <c r="I360" s="216" t="str">
        <f t="shared" si="47"/>
        <v/>
      </c>
      <c r="J360" s="248" t="str">
        <f t="shared" si="48"/>
        <v/>
      </c>
    </row>
    <row r="361" spans="2:10">
      <c r="B361" s="166" t="s">
        <v>21</v>
      </c>
      <c r="C361" s="166" t="s">
        <v>149</v>
      </c>
      <c r="D361" s="207" t="s">
        <v>151</v>
      </c>
      <c r="E361" s="167" t="s">
        <v>155</v>
      </c>
      <c r="F361" s="207" t="s">
        <v>158</v>
      </c>
      <c r="G361" s="166" t="s">
        <v>162</v>
      </c>
      <c r="H361" s="207" t="s">
        <v>165</v>
      </c>
      <c r="I361" s="216" t="str">
        <f t="shared" si="47"/>
        <v/>
      </c>
      <c r="J361" s="248" t="str">
        <f t="shared" si="48"/>
        <v/>
      </c>
    </row>
    <row r="362" spans="2:10">
      <c r="B362" s="166" t="s">
        <v>21</v>
      </c>
      <c r="C362" s="166" t="s">
        <v>149</v>
      </c>
      <c r="D362" s="207" t="s">
        <v>151</v>
      </c>
      <c r="E362" s="166" t="s">
        <v>155</v>
      </c>
      <c r="F362" s="207" t="s">
        <v>159</v>
      </c>
      <c r="G362" s="166" t="s">
        <v>161</v>
      </c>
      <c r="H362" s="207" t="s">
        <v>164</v>
      </c>
      <c r="I362" s="216" t="str">
        <f t="shared" si="47"/>
        <v/>
      </c>
      <c r="J362" s="248" t="str">
        <f t="shared" si="48"/>
        <v/>
      </c>
    </row>
    <row r="363" spans="2:10">
      <c r="B363" s="218" t="s">
        <v>21</v>
      </c>
      <c r="C363" s="218" t="s">
        <v>149</v>
      </c>
      <c r="D363" s="214" t="s">
        <v>151</v>
      </c>
      <c r="E363" s="218" t="s">
        <v>155</v>
      </c>
      <c r="F363" s="214" t="s">
        <v>159</v>
      </c>
      <c r="G363" s="218" t="s">
        <v>161</v>
      </c>
      <c r="H363" s="214" t="s">
        <v>165</v>
      </c>
      <c r="I363" s="216" t="str">
        <f t="shared" si="47"/>
        <v/>
      </c>
      <c r="J363" s="248" t="str">
        <f t="shared" si="48"/>
        <v/>
      </c>
    </row>
    <row r="364" spans="2:10">
      <c r="B364" s="222" t="s">
        <v>21</v>
      </c>
      <c r="C364" s="222" t="s">
        <v>149</v>
      </c>
      <c r="D364" s="164" t="s">
        <v>151</v>
      </c>
      <c r="E364" s="220" t="s">
        <v>155</v>
      </c>
      <c r="F364" s="208" t="s">
        <v>159</v>
      </c>
      <c r="G364" s="219" t="s">
        <v>162</v>
      </c>
      <c r="H364" s="209" t="s">
        <v>164</v>
      </c>
      <c r="I364" s="216" t="str">
        <f t="shared" si="47"/>
        <v/>
      </c>
      <c r="J364" s="248" t="str">
        <f t="shared" si="48"/>
        <v/>
      </c>
    </row>
    <row r="365" spans="2:10">
      <c r="B365" s="222" t="s">
        <v>21</v>
      </c>
      <c r="C365" s="222" t="s">
        <v>149</v>
      </c>
      <c r="D365" s="164" t="s">
        <v>151</v>
      </c>
      <c r="E365" s="220" t="s">
        <v>155</v>
      </c>
      <c r="F365" s="208" t="s">
        <v>159</v>
      </c>
      <c r="G365" s="219" t="s">
        <v>162</v>
      </c>
      <c r="H365" s="209" t="s">
        <v>165</v>
      </c>
      <c r="I365" s="216" t="str">
        <f t="shared" si="47"/>
        <v/>
      </c>
      <c r="J365" s="248" t="str">
        <f t="shared" si="48"/>
        <v/>
      </c>
    </row>
    <row r="366" spans="2:10">
      <c r="B366" s="222" t="s">
        <v>21</v>
      </c>
      <c r="C366" s="222" t="s">
        <v>149</v>
      </c>
      <c r="D366" s="164" t="s">
        <v>151</v>
      </c>
      <c r="E366" s="220" t="s">
        <v>156</v>
      </c>
      <c r="F366" s="208" t="s">
        <v>158</v>
      </c>
      <c r="G366" s="219" t="s">
        <v>161</v>
      </c>
      <c r="H366" s="209" t="s">
        <v>164</v>
      </c>
      <c r="I366" s="216" t="str">
        <f t="shared" si="47"/>
        <v/>
      </c>
      <c r="J366" s="248" t="str">
        <f t="shared" si="48"/>
        <v/>
      </c>
    </row>
    <row r="367" spans="2:10">
      <c r="B367" s="222" t="s">
        <v>21</v>
      </c>
      <c r="C367" s="222" t="s">
        <v>149</v>
      </c>
      <c r="D367" s="164" t="s">
        <v>151</v>
      </c>
      <c r="E367" s="220" t="s">
        <v>156</v>
      </c>
      <c r="F367" s="208" t="s">
        <v>158</v>
      </c>
      <c r="G367" s="219" t="s">
        <v>161</v>
      </c>
      <c r="H367" s="209" t="s">
        <v>165</v>
      </c>
      <c r="I367" s="216" t="str">
        <f t="shared" si="47"/>
        <v/>
      </c>
      <c r="J367" s="248" t="str">
        <f t="shared" si="48"/>
        <v/>
      </c>
    </row>
    <row r="368" spans="2:10">
      <c r="B368" s="222" t="s">
        <v>21</v>
      </c>
      <c r="C368" s="222" t="s">
        <v>149</v>
      </c>
      <c r="D368" s="164" t="s">
        <v>151</v>
      </c>
      <c r="E368" s="220" t="s">
        <v>156</v>
      </c>
      <c r="F368" s="208" t="s">
        <v>158</v>
      </c>
      <c r="G368" s="219" t="s">
        <v>162</v>
      </c>
      <c r="H368" s="209" t="s">
        <v>164</v>
      </c>
      <c r="I368" s="216" t="str">
        <f t="shared" si="47"/>
        <v/>
      </c>
      <c r="J368" s="248" t="str">
        <f t="shared" si="48"/>
        <v/>
      </c>
    </row>
    <row r="369" spans="2:10">
      <c r="B369" s="222" t="s">
        <v>21</v>
      </c>
      <c r="C369" s="222" t="s">
        <v>149</v>
      </c>
      <c r="D369" s="164" t="s">
        <v>151</v>
      </c>
      <c r="E369" s="220" t="s">
        <v>156</v>
      </c>
      <c r="F369" s="208" t="s">
        <v>158</v>
      </c>
      <c r="G369" s="219" t="s">
        <v>162</v>
      </c>
      <c r="H369" s="209" t="s">
        <v>165</v>
      </c>
      <c r="I369" s="216" t="str">
        <f t="shared" si="47"/>
        <v/>
      </c>
      <c r="J369" s="248" t="str">
        <f t="shared" si="48"/>
        <v/>
      </c>
    </row>
    <row r="370" spans="2:10">
      <c r="B370" s="223" t="s">
        <v>21</v>
      </c>
      <c r="C370" s="223" t="s">
        <v>149</v>
      </c>
      <c r="D370" s="210" t="s">
        <v>151</v>
      </c>
      <c r="E370" s="221" t="s">
        <v>156</v>
      </c>
      <c r="F370" s="211" t="s">
        <v>159</v>
      </c>
      <c r="G370" s="170" t="s">
        <v>161</v>
      </c>
      <c r="H370" s="212" t="s">
        <v>164</v>
      </c>
      <c r="I370" s="216" t="str">
        <f t="shared" si="47"/>
        <v/>
      </c>
      <c r="J370" s="248" t="str">
        <f t="shared" si="48"/>
        <v/>
      </c>
    </row>
    <row r="371" spans="2:10">
      <c r="B371" s="223" t="s">
        <v>21</v>
      </c>
      <c r="C371" s="223" t="s">
        <v>149</v>
      </c>
      <c r="D371" s="210" t="s">
        <v>151</v>
      </c>
      <c r="E371" s="221" t="s">
        <v>156</v>
      </c>
      <c r="F371" s="211" t="s">
        <v>159</v>
      </c>
      <c r="G371" s="170" t="s">
        <v>161</v>
      </c>
      <c r="H371" s="212" t="s">
        <v>165</v>
      </c>
      <c r="I371" s="216" t="str">
        <f t="shared" si="47"/>
        <v/>
      </c>
      <c r="J371" s="248" t="str">
        <f t="shared" si="48"/>
        <v/>
      </c>
    </row>
    <row r="372" spans="2:10">
      <c r="B372" s="223" t="s">
        <v>21</v>
      </c>
      <c r="C372" s="223" t="s">
        <v>149</v>
      </c>
      <c r="D372" s="210" t="s">
        <v>151</v>
      </c>
      <c r="E372" s="221" t="s">
        <v>156</v>
      </c>
      <c r="F372" s="211" t="s">
        <v>159</v>
      </c>
      <c r="G372" s="170" t="s">
        <v>162</v>
      </c>
      <c r="H372" s="212" t="s">
        <v>164</v>
      </c>
      <c r="I372" s="216" t="str">
        <f t="shared" si="47"/>
        <v/>
      </c>
      <c r="J372" s="248" t="str">
        <f t="shared" si="48"/>
        <v/>
      </c>
    </row>
    <row r="373" spans="2:10">
      <c r="B373" s="223" t="s">
        <v>21</v>
      </c>
      <c r="C373" s="223" t="s">
        <v>149</v>
      </c>
      <c r="D373" s="210" t="s">
        <v>151</v>
      </c>
      <c r="E373" s="221" t="s">
        <v>156</v>
      </c>
      <c r="F373" s="211" t="s">
        <v>159</v>
      </c>
      <c r="G373" s="170" t="s">
        <v>162</v>
      </c>
      <c r="H373" s="212" t="s">
        <v>165</v>
      </c>
      <c r="I373" s="216" t="str">
        <f t="shared" si="47"/>
        <v/>
      </c>
      <c r="J373" s="248" t="str">
        <f t="shared" si="48"/>
        <v/>
      </c>
    </row>
    <row r="374" spans="2:10">
      <c r="B374" s="223" t="s">
        <v>21</v>
      </c>
      <c r="C374" s="223" t="s">
        <v>152</v>
      </c>
      <c r="D374" s="210" t="s">
        <v>150</v>
      </c>
      <c r="E374" s="221" t="s">
        <v>155</v>
      </c>
      <c r="F374" s="211" t="s">
        <v>158</v>
      </c>
      <c r="G374" s="170" t="s">
        <v>161</v>
      </c>
      <c r="H374" s="212" t="s">
        <v>164</v>
      </c>
      <c r="I374" s="216" t="str">
        <f t="shared" ref="I374:I405" si="49">IF(M47="","",M47)</f>
        <v/>
      </c>
      <c r="J374" s="248" t="str">
        <f t="shared" si="48"/>
        <v/>
      </c>
    </row>
    <row r="375" spans="2:10">
      <c r="B375" s="223" t="s">
        <v>21</v>
      </c>
      <c r="C375" s="223" t="s">
        <v>152</v>
      </c>
      <c r="D375" s="210" t="s">
        <v>150</v>
      </c>
      <c r="E375" s="221" t="s">
        <v>155</v>
      </c>
      <c r="F375" s="211" t="s">
        <v>158</v>
      </c>
      <c r="G375" s="170" t="s">
        <v>161</v>
      </c>
      <c r="H375" s="212" t="s">
        <v>165</v>
      </c>
      <c r="I375" s="216" t="str">
        <f t="shared" si="49"/>
        <v/>
      </c>
      <c r="J375" s="248" t="str">
        <f t="shared" si="48"/>
        <v/>
      </c>
    </row>
    <row r="376" spans="2:10">
      <c r="B376" s="223" t="s">
        <v>21</v>
      </c>
      <c r="C376" s="223" t="s">
        <v>152</v>
      </c>
      <c r="D376" s="210" t="s">
        <v>150</v>
      </c>
      <c r="E376" s="221" t="s">
        <v>155</v>
      </c>
      <c r="F376" s="211" t="s">
        <v>158</v>
      </c>
      <c r="G376" s="170" t="s">
        <v>162</v>
      </c>
      <c r="H376" s="212" t="s">
        <v>164</v>
      </c>
      <c r="I376" s="216" t="str">
        <f t="shared" si="49"/>
        <v/>
      </c>
      <c r="J376" s="248" t="str">
        <f t="shared" si="48"/>
        <v/>
      </c>
    </row>
    <row r="377" spans="2:10">
      <c r="B377" s="223" t="s">
        <v>21</v>
      </c>
      <c r="C377" s="223" t="s">
        <v>152</v>
      </c>
      <c r="D377" s="210" t="s">
        <v>150</v>
      </c>
      <c r="E377" s="221" t="s">
        <v>155</v>
      </c>
      <c r="F377" s="211" t="s">
        <v>158</v>
      </c>
      <c r="G377" s="170" t="s">
        <v>162</v>
      </c>
      <c r="H377" s="212" t="s">
        <v>165</v>
      </c>
      <c r="I377" s="216" t="str">
        <f t="shared" si="49"/>
        <v/>
      </c>
      <c r="J377" s="248" t="str">
        <f t="shared" si="48"/>
        <v/>
      </c>
    </row>
    <row r="378" spans="2:10">
      <c r="B378" s="223" t="s">
        <v>21</v>
      </c>
      <c r="C378" s="223" t="s">
        <v>152</v>
      </c>
      <c r="D378" s="210" t="s">
        <v>150</v>
      </c>
      <c r="E378" s="221" t="s">
        <v>155</v>
      </c>
      <c r="F378" s="211" t="s">
        <v>159</v>
      </c>
      <c r="G378" s="170" t="s">
        <v>161</v>
      </c>
      <c r="H378" s="212" t="s">
        <v>164</v>
      </c>
      <c r="I378" s="216" t="str">
        <f t="shared" si="49"/>
        <v/>
      </c>
      <c r="J378" s="248" t="str">
        <f t="shared" si="48"/>
        <v/>
      </c>
    </row>
    <row r="379" spans="2:10">
      <c r="B379" s="223" t="s">
        <v>21</v>
      </c>
      <c r="C379" s="223" t="s">
        <v>152</v>
      </c>
      <c r="D379" s="210" t="s">
        <v>150</v>
      </c>
      <c r="E379" s="221" t="s">
        <v>155</v>
      </c>
      <c r="F379" s="211" t="s">
        <v>159</v>
      </c>
      <c r="G379" s="170" t="s">
        <v>161</v>
      </c>
      <c r="H379" s="212" t="s">
        <v>165</v>
      </c>
      <c r="I379" s="216" t="str">
        <f t="shared" si="49"/>
        <v/>
      </c>
      <c r="J379" s="248" t="str">
        <f t="shared" si="48"/>
        <v/>
      </c>
    </row>
    <row r="380" spans="2:10">
      <c r="B380" s="223" t="s">
        <v>21</v>
      </c>
      <c r="C380" s="223" t="s">
        <v>152</v>
      </c>
      <c r="D380" s="210" t="s">
        <v>150</v>
      </c>
      <c r="E380" s="221" t="s">
        <v>155</v>
      </c>
      <c r="F380" s="211" t="s">
        <v>159</v>
      </c>
      <c r="G380" s="170" t="s">
        <v>162</v>
      </c>
      <c r="H380" s="212" t="s">
        <v>164</v>
      </c>
      <c r="I380" s="216" t="str">
        <f t="shared" si="49"/>
        <v/>
      </c>
      <c r="J380" s="248" t="str">
        <f t="shared" si="48"/>
        <v/>
      </c>
    </row>
    <row r="381" spans="2:10">
      <c r="B381" s="223" t="s">
        <v>21</v>
      </c>
      <c r="C381" s="223" t="s">
        <v>152</v>
      </c>
      <c r="D381" s="210" t="s">
        <v>150</v>
      </c>
      <c r="E381" s="221" t="s">
        <v>155</v>
      </c>
      <c r="F381" s="211" t="s">
        <v>159</v>
      </c>
      <c r="G381" s="170" t="s">
        <v>162</v>
      </c>
      <c r="H381" s="212" t="s">
        <v>165</v>
      </c>
      <c r="I381" s="216" t="str">
        <f t="shared" si="49"/>
        <v/>
      </c>
      <c r="J381" s="248" t="str">
        <f t="shared" si="48"/>
        <v/>
      </c>
    </row>
    <row r="382" spans="2:10">
      <c r="B382" s="223" t="s">
        <v>21</v>
      </c>
      <c r="C382" s="223" t="s">
        <v>152</v>
      </c>
      <c r="D382" s="210" t="s">
        <v>150</v>
      </c>
      <c r="E382" s="221" t="s">
        <v>156</v>
      </c>
      <c r="F382" s="211" t="s">
        <v>158</v>
      </c>
      <c r="G382" s="170" t="s">
        <v>161</v>
      </c>
      <c r="H382" s="212" t="s">
        <v>164</v>
      </c>
      <c r="I382" s="216" t="str">
        <f t="shared" si="49"/>
        <v/>
      </c>
      <c r="J382" s="248" t="str">
        <f t="shared" si="48"/>
        <v/>
      </c>
    </row>
    <row r="383" spans="2:10">
      <c r="B383" s="223" t="s">
        <v>21</v>
      </c>
      <c r="C383" s="223" t="s">
        <v>152</v>
      </c>
      <c r="D383" s="210" t="s">
        <v>150</v>
      </c>
      <c r="E383" s="221" t="s">
        <v>156</v>
      </c>
      <c r="F383" s="211" t="s">
        <v>158</v>
      </c>
      <c r="G383" s="170" t="s">
        <v>161</v>
      </c>
      <c r="H383" s="212" t="s">
        <v>165</v>
      </c>
      <c r="I383" s="216" t="str">
        <f t="shared" si="49"/>
        <v/>
      </c>
      <c r="J383" s="248" t="str">
        <f t="shared" si="48"/>
        <v/>
      </c>
    </row>
    <row r="384" spans="2:10">
      <c r="B384" s="223" t="s">
        <v>21</v>
      </c>
      <c r="C384" s="223" t="s">
        <v>152</v>
      </c>
      <c r="D384" s="210" t="s">
        <v>150</v>
      </c>
      <c r="E384" s="221" t="s">
        <v>156</v>
      </c>
      <c r="F384" s="211" t="s">
        <v>158</v>
      </c>
      <c r="G384" s="170" t="s">
        <v>162</v>
      </c>
      <c r="H384" s="212" t="s">
        <v>164</v>
      </c>
      <c r="I384" s="216" t="str">
        <f t="shared" si="49"/>
        <v/>
      </c>
      <c r="J384" s="248" t="str">
        <f t="shared" si="48"/>
        <v/>
      </c>
    </row>
    <row r="385" spans="2:10">
      <c r="B385" s="166" t="s">
        <v>21</v>
      </c>
      <c r="C385" s="166" t="s">
        <v>152</v>
      </c>
      <c r="D385" s="164" t="s">
        <v>150</v>
      </c>
      <c r="E385" s="220" t="s">
        <v>156</v>
      </c>
      <c r="F385" s="208" t="s">
        <v>158</v>
      </c>
      <c r="G385" s="166" t="s">
        <v>162</v>
      </c>
      <c r="H385" s="207" t="s">
        <v>165</v>
      </c>
      <c r="I385" s="216" t="str">
        <f t="shared" si="49"/>
        <v/>
      </c>
      <c r="J385" s="248" t="str">
        <f t="shared" si="48"/>
        <v/>
      </c>
    </row>
    <row r="386" spans="2:10">
      <c r="B386" s="166" t="s">
        <v>21</v>
      </c>
      <c r="C386" s="166" t="s">
        <v>152</v>
      </c>
      <c r="D386" s="164" t="s">
        <v>150</v>
      </c>
      <c r="E386" s="220" t="s">
        <v>156</v>
      </c>
      <c r="F386" s="208" t="s">
        <v>159</v>
      </c>
      <c r="G386" s="166" t="s">
        <v>161</v>
      </c>
      <c r="H386" s="207" t="s">
        <v>164</v>
      </c>
      <c r="I386" s="216" t="str">
        <f t="shared" si="49"/>
        <v/>
      </c>
      <c r="J386" s="248" t="str">
        <f t="shared" si="48"/>
        <v/>
      </c>
    </row>
    <row r="387" spans="2:10">
      <c r="B387" s="166" t="s">
        <v>21</v>
      </c>
      <c r="C387" s="166" t="s">
        <v>152</v>
      </c>
      <c r="D387" s="207" t="s">
        <v>150</v>
      </c>
      <c r="E387" s="166" t="s">
        <v>156</v>
      </c>
      <c r="F387" s="207" t="s">
        <v>159</v>
      </c>
      <c r="G387" s="166" t="s">
        <v>161</v>
      </c>
      <c r="H387" s="207" t="s">
        <v>165</v>
      </c>
      <c r="I387" s="216" t="str">
        <f t="shared" si="49"/>
        <v/>
      </c>
      <c r="J387" s="248" t="str">
        <f t="shared" si="48"/>
        <v/>
      </c>
    </row>
    <row r="388" spans="2:10">
      <c r="B388" s="166" t="s">
        <v>21</v>
      </c>
      <c r="C388" s="166" t="s">
        <v>152</v>
      </c>
      <c r="D388" s="213" t="s">
        <v>150</v>
      </c>
      <c r="E388" s="166" t="s">
        <v>156</v>
      </c>
      <c r="F388" s="213" t="s">
        <v>159</v>
      </c>
      <c r="G388" s="166" t="s">
        <v>162</v>
      </c>
      <c r="H388" s="213" t="s">
        <v>164</v>
      </c>
      <c r="I388" s="216" t="str">
        <f t="shared" si="49"/>
        <v/>
      </c>
      <c r="J388" s="248" t="str">
        <f t="shared" si="48"/>
        <v/>
      </c>
    </row>
    <row r="389" spans="2:10">
      <c r="B389" s="166" t="s">
        <v>21</v>
      </c>
      <c r="C389" s="166" t="s">
        <v>152</v>
      </c>
      <c r="D389" s="213" t="s">
        <v>150</v>
      </c>
      <c r="E389" s="166" t="s">
        <v>156</v>
      </c>
      <c r="F389" s="213" t="s">
        <v>159</v>
      </c>
      <c r="G389" s="166" t="s">
        <v>162</v>
      </c>
      <c r="H389" s="213" t="s">
        <v>165</v>
      </c>
      <c r="I389" s="216" t="str">
        <f t="shared" si="49"/>
        <v/>
      </c>
      <c r="J389" s="248" t="str">
        <f t="shared" si="48"/>
        <v/>
      </c>
    </row>
    <row r="390" spans="2:10">
      <c r="B390" s="166" t="s">
        <v>21</v>
      </c>
      <c r="C390" s="166" t="s">
        <v>152</v>
      </c>
      <c r="D390" s="213" t="s">
        <v>151</v>
      </c>
      <c r="E390" s="166" t="s">
        <v>155</v>
      </c>
      <c r="F390" s="213" t="s">
        <v>158</v>
      </c>
      <c r="G390" s="166" t="s">
        <v>161</v>
      </c>
      <c r="H390" s="213" t="s">
        <v>164</v>
      </c>
      <c r="I390" s="216" t="str">
        <f t="shared" si="49"/>
        <v/>
      </c>
      <c r="J390" s="248" t="str">
        <f t="shared" si="48"/>
        <v/>
      </c>
    </row>
    <row r="391" spans="2:10">
      <c r="B391" s="166" t="s">
        <v>21</v>
      </c>
      <c r="C391" s="166" t="s">
        <v>152</v>
      </c>
      <c r="D391" s="213" t="s">
        <v>151</v>
      </c>
      <c r="E391" s="166" t="s">
        <v>155</v>
      </c>
      <c r="F391" s="213" t="s">
        <v>158</v>
      </c>
      <c r="G391" s="166" t="s">
        <v>161</v>
      </c>
      <c r="H391" s="213" t="s">
        <v>165</v>
      </c>
      <c r="I391" s="216" t="str">
        <f t="shared" si="49"/>
        <v/>
      </c>
      <c r="J391" s="248" t="str">
        <f t="shared" si="48"/>
        <v/>
      </c>
    </row>
    <row r="392" spans="2:10">
      <c r="B392" s="166" t="s">
        <v>21</v>
      </c>
      <c r="C392" s="166" t="s">
        <v>152</v>
      </c>
      <c r="D392" s="213" t="s">
        <v>151</v>
      </c>
      <c r="E392" s="166" t="s">
        <v>155</v>
      </c>
      <c r="F392" s="213" t="s">
        <v>158</v>
      </c>
      <c r="G392" s="166" t="s">
        <v>162</v>
      </c>
      <c r="H392" s="213" t="s">
        <v>164</v>
      </c>
      <c r="I392" s="216" t="str">
        <f t="shared" si="49"/>
        <v/>
      </c>
      <c r="J392" s="248" t="str">
        <f t="shared" si="48"/>
        <v/>
      </c>
    </row>
    <row r="393" spans="2:10">
      <c r="B393" s="166" t="s">
        <v>21</v>
      </c>
      <c r="C393" s="166" t="s">
        <v>152</v>
      </c>
      <c r="D393" s="213" t="s">
        <v>151</v>
      </c>
      <c r="E393" s="166" t="s">
        <v>155</v>
      </c>
      <c r="F393" s="213" t="s">
        <v>158</v>
      </c>
      <c r="G393" s="166" t="s">
        <v>162</v>
      </c>
      <c r="H393" s="213" t="s">
        <v>165</v>
      </c>
      <c r="I393" s="216" t="str">
        <f t="shared" si="49"/>
        <v/>
      </c>
      <c r="J393" s="248" t="str">
        <f t="shared" si="48"/>
        <v/>
      </c>
    </row>
    <row r="394" spans="2:10">
      <c r="B394" s="166" t="s">
        <v>21</v>
      </c>
      <c r="C394" s="166" t="s">
        <v>152</v>
      </c>
      <c r="D394" s="213" t="s">
        <v>151</v>
      </c>
      <c r="E394" s="166" t="s">
        <v>155</v>
      </c>
      <c r="F394" s="213" t="s">
        <v>159</v>
      </c>
      <c r="G394" s="166" t="s">
        <v>161</v>
      </c>
      <c r="H394" s="213" t="s">
        <v>164</v>
      </c>
      <c r="I394" s="216" t="str">
        <f t="shared" si="49"/>
        <v/>
      </c>
      <c r="J394" s="248" t="str">
        <f t="shared" si="48"/>
        <v/>
      </c>
    </row>
    <row r="395" spans="2:10">
      <c r="B395" s="166" t="s">
        <v>21</v>
      </c>
      <c r="C395" s="166" t="s">
        <v>152</v>
      </c>
      <c r="D395" s="213" t="s">
        <v>151</v>
      </c>
      <c r="E395" s="166" t="s">
        <v>155</v>
      </c>
      <c r="F395" s="213" t="s">
        <v>159</v>
      </c>
      <c r="G395" s="166" t="s">
        <v>161</v>
      </c>
      <c r="H395" s="213" t="s">
        <v>165</v>
      </c>
      <c r="I395" s="216" t="str">
        <f t="shared" si="49"/>
        <v/>
      </c>
      <c r="J395" s="248" t="str">
        <f t="shared" si="48"/>
        <v/>
      </c>
    </row>
    <row r="396" spans="2:10">
      <c r="B396" s="166" t="s">
        <v>21</v>
      </c>
      <c r="C396" s="166" t="s">
        <v>152</v>
      </c>
      <c r="D396" s="213" t="s">
        <v>151</v>
      </c>
      <c r="E396" s="166" t="s">
        <v>155</v>
      </c>
      <c r="F396" s="213" t="s">
        <v>159</v>
      </c>
      <c r="G396" s="166" t="s">
        <v>162</v>
      </c>
      <c r="H396" s="213" t="s">
        <v>164</v>
      </c>
      <c r="I396" s="216" t="str">
        <f t="shared" si="49"/>
        <v/>
      </c>
      <c r="J396" s="248" t="str">
        <f t="shared" si="48"/>
        <v/>
      </c>
    </row>
    <row r="397" spans="2:10">
      <c r="B397" s="166" t="s">
        <v>21</v>
      </c>
      <c r="C397" s="166" t="s">
        <v>152</v>
      </c>
      <c r="D397" s="213" t="s">
        <v>151</v>
      </c>
      <c r="E397" s="166" t="s">
        <v>155</v>
      </c>
      <c r="F397" s="213" t="s">
        <v>159</v>
      </c>
      <c r="G397" s="166" t="s">
        <v>162</v>
      </c>
      <c r="H397" s="213" t="s">
        <v>165</v>
      </c>
      <c r="I397" s="216" t="str">
        <f t="shared" si="49"/>
        <v/>
      </c>
      <c r="J397" s="248" t="str">
        <f t="shared" si="48"/>
        <v/>
      </c>
    </row>
    <row r="398" spans="2:10">
      <c r="B398" s="166" t="s">
        <v>21</v>
      </c>
      <c r="C398" s="166" t="s">
        <v>152</v>
      </c>
      <c r="D398" s="213" t="s">
        <v>151</v>
      </c>
      <c r="E398" s="166" t="s">
        <v>156</v>
      </c>
      <c r="F398" s="213" t="s">
        <v>158</v>
      </c>
      <c r="G398" s="166" t="s">
        <v>161</v>
      </c>
      <c r="H398" s="213" t="s">
        <v>164</v>
      </c>
      <c r="I398" s="216" t="str">
        <f t="shared" si="49"/>
        <v/>
      </c>
      <c r="J398" s="248" t="str">
        <f t="shared" si="48"/>
        <v/>
      </c>
    </row>
    <row r="399" spans="2:10">
      <c r="B399" s="166" t="s">
        <v>21</v>
      </c>
      <c r="C399" s="166" t="s">
        <v>152</v>
      </c>
      <c r="D399" s="213" t="s">
        <v>151</v>
      </c>
      <c r="E399" s="166" t="s">
        <v>156</v>
      </c>
      <c r="F399" s="213" t="s">
        <v>158</v>
      </c>
      <c r="G399" s="166" t="s">
        <v>161</v>
      </c>
      <c r="H399" s="213" t="s">
        <v>165</v>
      </c>
      <c r="I399" s="216" t="str">
        <f t="shared" si="49"/>
        <v/>
      </c>
      <c r="J399" s="248" t="str">
        <f t="shared" si="48"/>
        <v/>
      </c>
    </row>
    <row r="400" spans="2:10">
      <c r="B400" s="166" t="s">
        <v>21</v>
      </c>
      <c r="C400" s="166" t="s">
        <v>152</v>
      </c>
      <c r="D400" s="213" t="s">
        <v>151</v>
      </c>
      <c r="E400" s="166" t="s">
        <v>156</v>
      </c>
      <c r="F400" s="213" t="s">
        <v>158</v>
      </c>
      <c r="G400" s="166" t="s">
        <v>162</v>
      </c>
      <c r="H400" s="213" t="s">
        <v>164</v>
      </c>
      <c r="I400" s="216" t="str">
        <f t="shared" si="49"/>
        <v/>
      </c>
      <c r="J400" s="248" t="str">
        <f t="shared" si="48"/>
        <v/>
      </c>
    </row>
    <row r="401" spans="1:10">
      <c r="B401" s="166" t="s">
        <v>21</v>
      </c>
      <c r="C401" s="166" t="s">
        <v>152</v>
      </c>
      <c r="D401" s="213" t="s">
        <v>151</v>
      </c>
      <c r="E401" s="166" t="s">
        <v>156</v>
      </c>
      <c r="F401" s="213" t="s">
        <v>158</v>
      </c>
      <c r="G401" s="166" t="s">
        <v>162</v>
      </c>
      <c r="H401" s="213" t="s">
        <v>165</v>
      </c>
      <c r="I401" s="216" t="str">
        <f t="shared" si="49"/>
        <v/>
      </c>
      <c r="J401" s="248" t="str">
        <f t="shared" si="48"/>
        <v/>
      </c>
    </row>
    <row r="402" spans="1:10">
      <c r="B402" s="166" t="s">
        <v>21</v>
      </c>
      <c r="C402" s="166" t="s">
        <v>152</v>
      </c>
      <c r="D402" s="213" t="s">
        <v>151</v>
      </c>
      <c r="E402" s="166" t="s">
        <v>156</v>
      </c>
      <c r="F402" s="213" t="s">
        <v>159</v>
      </c>
      <c r="G402" s="166" t="s">
        <v>161</v>
      </c>
      <c r="H402" s="213" t="s">
        <v>164</v>
      </c>
      <c r="I402" s="216" t="str">
        <f t="shared" si="49"/>
        <v/>
      </c>
      <c r="J402" s="248" t="str">
        <f t="shared" si="48"/>
        <v/>
      </c>
    </row>
    <row r="403" spans="1:10">
      <c r="B403" s="166" t="s">
        <v>21</v>
      </c>
      <c r="C403" s="166" t="s">
        <v>152</v>
      </c>
      <c r="D403" s="213" t="s">
        <v>151</v>
      </c>
      <c r="E403" s="166" t="s">
        <v>156</v>
      </c>
      <c r="F403" s="213" t="s">
        <v>159</v>
      </c>
      <c r="G403" s="166" t="s">
        <v>161</v>
      </c>
      <c r="H403" s="213" t="s">
        <v>165</v>
      </c>
      <c r="I403" s="216" t="str">
        <f t="shared" si="49"/>
        <v/>
      </c>
      <c r="J403" s="248" t="str">
        <f t="shared" si="48"/>
        <v/>
      </c>
    </row>
    <row r="404" spans="1:10">
      <c r="B404" s="166" t="s">
        <v>21</v>
      </c>
      <c r="C404" s="166" t="s">
        <v>152</v>
      </c>
      <c r="D404" s="213" t="s">
        <v>151</v>
      </c>
      <c r="E404" s="166" t="s">
        <v>156</v>
      </c>
      <c r="F404" s="213" t="s">
        <v>159</v>
      </c>
      <c r="G404" s="166" t="s">
        <v>162</v>
      </c>
      <c r="H404" s="213" t="s">
        <v>164</v>
      </c>
      <c r="I404" s="216" t="str">
        <f t="shared" si="49"/>
        <v/>
      </c>
      <c r="J404" s="248" t="str">
        <f t="shared" si="48"/>
        <v/>
      </c>
    </row>
    <row r="405" spans="1:10">
      <c r="B405" s="168" t="s">
        <v>21</v>
      </c>
      <c r="C405" s="168" t="s">
        <v>152</v>
      </c>
      <c r="D405" s="215" t="s">
        <v>151</v>
      </c>
      <c r="E405" s="168" t="s">
        <v>156</v>
      </c>
      <c r="F405" s="215" t="s">
        <v>159</v>
      </c>
      <c r="G405" s="168" t="s">
        <v>162</v>
      </c>
      <c r="H405" s="215" t="s">
        <v>165</v>
      </c>
      <c r="I405" s="217" t="str">
        <f t="shared" si="49"/>
        <v/>
      </c>
      <c r="J405" s="249" t="str">
        <f t="shared" si="48"/>
        <v/>
      </c>
    </row>
    <row r="408" spans="1:10" ht="14.4">
      <c r="A408" s="243" t="s">
        <v>183</v>
      </c>
      <c r="B408" s="241"/>
      <c r="C408" s="241"/>
      <c r="D408" s="241"/>
      <c r="E408" s="241"/>
      <c r="F408" s="241"/>
      <c r="G408" s="241"/>
      <c r="H408" s="241"/>
      <c r="I408" s="241"/>
      <c r="J408" s="241"/>
    </row>
    <row r="410" spans="1:10">
      <c r="B410" s="77" t="s">
        <v>213</v>
      </c>
    </row>
    <row r="411" spans="1:10">
      <c r="B411" s="77"/>
      <c r="E411" s="77" t="s">
        <v>212</v>
      </c>
    </row>
    <row r="413" spans="1:10">
      <c r="B413" s="64" t="s">
        <v>184</v>
      </c>
    </row>
    <row r="414" spans="1:10">
      <c r="B414" s="77" t="s">
        <v>216</v>
      </c>
    </row>
    <row r="415" spans="1:10" ht="13.8">
      <c r="B415" s="77"/>
      <c r="C415" s="240" t="s">
        <v>210</v>
      </c>
      <c r="D415" s="241"/>
      <c r="E415" s="241"/>
      <c r="F415" s="241"/>
      <c r="G415" s="241"/>
      <c r="H415" s="241"/>
      <c r="I415" s="241"/>
      <c r="J415" s="241"/>
    </row>
    <row r="416" spans="1:10" ht="13.8">
      <c r="B416" s="77"/>
      <c r="C416" s="240" t="s">
        <v>208</v>
      </c>
      <c r="D416" s="241"/>
      <c r="E416" s="241"/>
      <c r="F416" s="241"/>
      <c r="G416" s="241"/>
      <c r="H416" s="241"/>
      <c r="I416" s="241"/>
      <c r="J416" s="241"/>
    </row>
    <row r="417" spans="2:10" ht="13.8">
      <c r="B417" s="77"/>
      <c r="C417" s="240" t="s">
        <v>209</v>
      </c>
      <c r="D417" s="241"/>
      <c r="E417" s="241"/>
      <c r="F417" s="241"/>
      <c r="G417" s="241"/>
      <c r="H417" s="241"/>
      <c r="I417" s="241"/>
      <c r="J417" s="241"/>
    </row>
    <row r="418" spans="2:10">
      <c r="B418" s="77"/>
    </row>
    <row r="419" spans="2:10">
      <c r="B419" s="77" t="s">
        <v>217</v>
      </c>
    </row>
    <row r="420" spans="2:10">
      <c r="B420" s="77" t="s">
        <v>191</v>
      </c>
    </row>
    <row r="421" spans="2:10" ht="13.8">
      <c r="B421" s="77"/>
      <c r="C421" s="240" t="s">
        <v>223</v>
      </c>
      <c r="D421" s="240"/>
      <c r="E421" s="240"/>
      <c r="F421" s="240"/>
      <c r="G421" s="240"/>
      <c r="H421" s="240"/>
      <c r="I421" s="240"/>
      <c r="J421" s="240"/>
    </row>
    <row r="422" spans="2:10" ht="13.8">
      <c r="B422" s="77"/>
      <c r="C422" s="240" t="s">
        <v>222</v>
      </c>
      <c r="D422" s="241"/>
      <c r="E422" s="241"/>
      <c r="F422" s="241"/>
      <c r="G422" s="241"/>
      <c r="H422" s="241"/>
      <c r="I422" s="241"/>
      <c r="J422" s="241"/>
    </row>
    <row r="423" spans="2:10">
      <c r="B423" s="77"/>
    </row>
    <row r="424" spans="2:10">
      <c r="B424" s="77" t="s">
        <v>192</v>
      </c>
    </row>
    <row r="425" spans="2:10">
      <c r="B425" s="77"/>
      <c r="C425" s="77" t="s">
        <v>225</v>
      </c>
    </row>
    <row r="426" spans="2:10">
      <c r="B426" s="77"/>
      <c r="C426" s="263" t="s">
        <v>226</v>
      </c>
    </row>
    <row r="427" spans="2:10">
      <c r="B427" s="77"/>
      <c r="C427" s="77" t="s">
        <v>227</v>
      </c>
    </row>
    <row r="428" spans="2:10">
      <c r="B428" s="77"/>
      <c r="C428" s="263" t="s">
        <v>228</v>
      </c>
    </row>
    <row r="429" spans="2:10">
      <c r="B429" s="77"/>
      <c r="C429" s="77" t="s">
        <v>229</v>
      </c>
    </row>
    <row r="430" spans="2:10">
      <c r="B430" s="77"/>
      <c r="C430" s="77" t="s">
        <v>230</v>
      </c>
    </row>
    <row r="431" spans="2:10">
      <c r="B431" s="77"/>
      <c r="C431" s="77"/>
    </row>
    <row r="432" spans="2:10">
      <c r="B432" s="77"/>
      <c r="C432" s="77" t="s">
        <v>231</v>
      </c>
    </row>
    <row r="433" spans="1:10" ht="13.8">
      <c r="C433" s="240" t="s">
        <v>211</v>
      </c>
      <c r="D433" s="241"/>
      <c r="E433" s="241"/>
      <c r="F433" s="241"/>
      <c r="G433" s="241"/>
      <c r="H433" s="241"/>
      <c r="I433" s="241"/>
      <c r="J433" s="241"/>
    </row>
    <row r="434" spans="1:10" ht="13.8">
      <c r="C434" s="240" t="s">
        <v>208</v>
      </c>
      <c r="D434" s="241"/>
      <c r="E434" s="241"/>
      <c r="F434" s="241"/>
      <c r="G434" s="241"/>
      <c r="H434" s="241"/>
      <c r="I434" s="241"/>
      <c r="J434" s="241"/>
    </row>
    <row r="435" spans="1:10" ht="13.8">
      <c r="C435" s="240" t="s">
        <v>209</v>
      </c>
      <c r="D435" s="241"/>
      <c r="E435" s="241"/>
      <c r="F435" s="241"/>
      <c r="G435" s="241"/>
      <c r="H435" s="241"/>
      <c r="I435" s="241"/>
      <c r="J435" s="241"/>
    </row>
    <row r="436" spans="1:10" ht="15.6">
      <c r="A436" s="92"/>
    </row>
    <row r="437" spans="1:10" ht="15.6">
      <c r="A437" s="92"/>
      <c r="C437" s="77" t="s">
        <v>232</v>
      </c>
    </row>
    <row r="438" spans="1:10" ht="15.6">
      <c r="A438" s="92"/>
      <c r="C438" s="240" t="s">
        <v>233</v>
      </c>
      <c r="D438" s="241"/>
      <c r="E438" s="241"/>
      <c r="F438" s="241"/>
      <c r="G438" s="241"/>
      <c r="H438" s="241"/>
      <c r="I438" s="241"/>
      <c r="J438" s="241"/>
    </row>
    <row r="439" spans="1:10" ht="15.6">
      <c r="A439" s="92"/>
      <c r="C439" s="240" t="s">
        <v>223</v>
      </c>
      <c r="D439" s="241"/>
      <c r="E439" s="241"/>
      <c r="F439" s="241"/>
      <c r="G439" s="241"/>
      <c r="H439" s="241"/>
      <c r="I439" s="241"/>
      <c r="J439" s="241"/>
    </row>
    <row r="440" spans="1:10" ht="15.6">
      <c r="A440" s="92"/>
      <c r="C440" s="240" t="s">
        <v>246</v>
      </c>
      <c r="D440" s="241"/>
      <c r="E440" s="241"/>
      <c r="F440" s="241"/>
      <c r="G440" s="241"/>
      <c r="H440" s="241"/>
      <c r="I440" s="241"/>
      <c r="J440" s="241"/>
    </row>
    <row r="441" spans="1:10" ht="15.6">
      <c r="A441" s="92"/>
      <c r="C441" s="240" t="s">
        <v>208</v>
      </c>
      <c r="D441" s="241"/>
      <c r="E441" s="241"/>
      <c r="F441" s="241"/>
      <c r="G441" s="241"/>
      <c r="H441" s="241"/>
      <c r="I441" s="241"/>
      <c r="J441" s="241"/>
    </row>
    <row r="442" spans="1:10" ht="15.6">
      <c r="A442" s="92"/>
      <c r="C442" s="240" t="s">
        <v>247</v>
      </c>
      <c r="D442" s="241"/>
      <c r="E442" s="241"/>
      <c r="F442" s="241"/>
      <c r="G442" s="241"/>
      <c r="H442" s="241"/>
      <c r="I442" s="241"/>
      <c r="J442" s="241"/>
    </row>
    <row r="443" spans="1:10" ht="15.6">
      <c r="A443" s="92"/>
    </row>
    <row r="444" spans="1:10" ht="15.6">
      <c r="A444" s="92"/>
    </row>
    <row r="445" spans="1:10" ht="15.6">
      <c r="A445" s="92"/>
    </row>
    <row r="446" spans="1:10" ht="15.6">
      <c r="A446" s="92"/>
      <c r="B446" s="77" t="s">
        <v>250</v>
      </c>
    </row>
    <row r="447" spans="1:10" ht="15.6">
      <c r="A447" s="92"/>
      <c r="C447" s="240" t="s">
        <v>248</v>
      </c>
      <c r="D447" s="240"/>
      <c r="E447" s="240"/>
      <c r="F447" s="240"/>
      <c r="G447" s="240"/>
      <c r="H447" s="240"/>
      <c r="I447" s="240"/>
      <c r="J447" s="240"/>
    </row>
    <row r="448" spans="1:10" ht="13.8">
      <c r="C448" s="240" t="s">
        <v>259</v>
      </c>
      <c r="D448" s="240"/>
      <c r="E448" s="240"/>
      <c r="F448" s="240"/>
      <c r="G448" s="240"/>
      <c r="H448" s="240"/>
      <c r="I448" s="240"/>
      <c r="J448" s="240"/>
    </row>
    <row r="449" spans="1:10" ht="13.8">
      <c r="C449" s="240" t="s">
        <v>260</v>
      </c>
      <c r="D449" s="240"/>
      <c r="E449" s="240"/>
      <c r="F449" s="240"/>
      <c r="G449" s="240"/>
      <c r="H449" s="240"/>
      <c r="I449" s="240"/>
      <c r="J449" s="240"/>
    </row>
    <row r="451" spans="1:10">
      <c r="A451" s="264" t="s">
        <v>249</v>
      </c>
    </row>
  </sheetData>
  <sheetProtection sheet="1" objects="1" scenarios="1" formatCells="0"/>
  <mergeCells count="2">
    <mergeCell ref="C2:F2"/>
    <mergeCell ref="C3:F3"/>
  </mergeCells>
  <phoneticPr fontId="8" type="noConversion"/>
  <hyperlinks>
    <hyperlink ref="A451" r:id="rId1"/>
  </hyperlinks>
  <printOptions gridLines="1" gridLinesSet="0"/>
  <pageMargins left="0.78740157499999996" right="0.78740157499999996" top="0.984251969" bottom="0.984251969" header="0.4921259845" footer="0.4921259845"/>
  <pageSetup paperSize="9" scale="96" orientation="portrait" horizontalDpi="360" verticalDpi="360" copies="0" r:id="rId2"/>
  <headerFooter alignWithMargins="0">
    <oddHeader>&amp;A</oddHeader>
    <oddFooter>Page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73</vt:i4>
      </vt:variant>
    </vt:vector>
  </HeadingPairs>
  <TitlesOfParts>
    <vt:vector size="79" baseType="lpstr">
      <vt:lpstr>Plan mini </vt:lpstr>
      <vt:lpstr>2fact 2niv</vt:lpstr>
      <vt:lpstr>3fact 2niv</vt:lpstr>
      <vt:lpstr>4fact 2niv</vt:lpstr>
      <vt:lpstr>5fact 2niv</vt:lpstr>
      <vt:lpstr>6fact 2niv</vt:lpstr>
      <vt:lpstr>_sa1</vt:lpstr>
      <vt:lpstr>_sa2</vt:lpstr>
      <vt:lpstr>_sb1</vt:lpstr>
      <vt:lpstr>_sb2</vt:lpstr>
      <vt:lpstr>_sc1</vt:lpstr>
      <vt:lpstr>_sc2</vt:lpstr>
      <vt:lpstr>_sd1</vt:lpstr>
      <vt:lpstr>_sd2</vt:lpstr>
      <vt:lpstr>_se1</vt:lpstr>
      <vt:lpstr>_se2</vt:lpstr>
      <vt:lpstr>_sf1</vt:lpstr>
      <vt:lpstr>_sf2</vt:lpstr>
      <vt:lpstr>sa1b1</vt:lpstr>
      <vt:lpstr>sa1b2</vt:lpstr>
      <vt:lpstr>sa1c1</vt:lpstr>
      <vt:lpstr>sa1c2</vt:lpstr>
      <vt:lpstr>sa1d1</vt:lpstr>
      <vt:lpstr>sa1d2</vt:lpstr>
      <vt:lpstr>sa1e1</vt:lpstr>
      <vt:lpstr>sa1e2</vt:lpstr>
      <vt:lpstr>sa1f1</vt:lpstr>
      <vt:lpstr>sa1f2</vt:lpstr>
      <vt:lpstr>sa2b1</vt:lpstr>
      <vt:lpstr>sa2b2</vt:lpstr>
      <vt:lpstr>sa2c1</vt:lpstr>
      <vt:lpstr>sa2c2</vt:lpstr>
      <vt:lpstr>sa2d1</vt:lpstr>
      <vt:lpstr>sa2d2</vt:lpstr>
      <vt:lpstr>sa2e1</vt:lpstr>
      <vt:lpstr>sa2e2</vt:lpstr>
      <vt:lpstr>sa2f1</vt:lpstr>
      <vt:lpstr>sa2f2</vt:lpstr>
      <vt:lpstr>sb1c1</vt:lpstr>
      <vt:lpstr>sb1c2</vt:lpstr>
      <vt:lpstr>sb1d1</vt:lpstr>
      <vt:lpstr>sb1d2</vt:lpstr>
      <vt:lpstr>sb1e1</vt:lpstr>
      <vt:lpstr>sb1e2</vt:lpstr>
      <vt:lpstr>sb1f1</vt:lpstr>
      <vt:lpstr>sb1f2</vt:lpstr>
      <vt:lpstr>sb2c1</vt:lpstr>
      <vt:lpstr>sb2c2</vt:lpstr>
      <vt:lpstr>sb2d1</vt:lpstr>
      <vt:lpstr>sb2d2</vt:lpstr>
      <vt:lpstr>sb2e1</vt:lpstr>
      <vt:lpstr>sb2e2</vt:lpstr>
      <vt:lpstr>sb2f1</vt:lpstr>
      <vt:lpstr>sb2f2</vt:lpstr>
      <vt:lpstr>SC1D1</vt:lpstr>
      <vt:lpstr>SC1D2</vt:lpstr>
      <vt:lpstr>SC1E1</vt:lpstr>
      <vt:lpstr>SC1E2</vt:lpstr>
      <vt:lpstr>SC1F1</vt:lpstr>
      <vt:lpstr>SC1F2</vt:lpstr>
      <vt:lpstr>SC2D1</vt:lpstr>
      <vt:lpstr>SC2D2</vt:lpstr>
      <vt:lpstr>SC2E1</vt:lpstr>
      <vt:lpstr>SC2E2</vt:lpstr>
      <vt:lpstr>SC2F1</vt:lpstr>
      <vt:lpstr>SC2F2</vt:lpstr>
      <vt:lpstr>SD1E1</vt:lpstr>
      <vt:lpstr>SD1E2</vt:lpstr>
      <vt:lpstr>sd1f1</vt:lpstr>
      <vt:lpstr>sd1f2</vt:lpstr>
      <vt:lpstr>SD2E1</vt:lpstr>
      <vt:lpstr>sd2e2</vt:lpstr>
      <vt:lpstr>sd2f1</vt:lpstr>
      <vt:lpstr>sd2f2</vt:lpstr>
      <vt:lpstr>se1f1</vt:lpstr>
      <vt:lpstr>se1f2</vt:lpstr>
      <vt:lpstr>se2f1</vt:lpstr>
      <vt:lpstr>se2f2</vt:lpstr>
      <vt:lpstr>Valeurs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2006-03-11T10:34:29Z</dcterms:created>
  <dcterms:modified xsi:type="dcterms:W3CDTF">2015-02-22T16:12:54Z</dcterms:modified>
</cp:coreProperties>
</file>