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240" yWindow="72" windowWidth="9180" windowHeight="5016" tabRatio="451" activeTab="1"/>
  </bookViews>
  <sheets>
    <sheet name="Plans mini" sheetId="5" r:id="rId1"/>
    <sheet name="432" sheetId="4" r:id="rId2"/>
    <sheet name="442" sheetId="3" r:id="rId3"/>
    <sheet name="4322" sheetId="2" r:id="rId4"/>
    <sheet name="ANOVA_HID" sheetId="8" state="hidden" r:id="rId5"/>
  </sheets>
  <externalReferences>
    <externalReference r:id="rId6"/>
  </externalReferences>
  <definedNames>
    <definedName name="_PA1">'4322'!$F$15:$F$26</definedName>
    <definedName name="_PA2">'4322'!$F$27:$F$38</definedName>
    <definedName name="_PA3">'4322'!$F$39:$F$50</definedName>
    <definedName name="_PA4">'4322'!$F$51:$F$62</definedName>
    <definedName name="_PB1">'4322'!$F$15:$F$18,'4322'!$F$27:$F$30,'4322'!$F$39:$F$42,'4322'!$F$51:$F$54</definedName>
    <definedName name="_PB2">'4322'!$F$19:$F$22,'4322'!$F$31:$F$34,'4322'!$F$43:$F$46,'4322'!$F$55:$F$58</definedName>
    <definedName name="_PB3">'4322'!$F$23:$F$26,'4322'!$F$35:$F$38,'4322'!$F$47:$F$50,'4322'!$F$59:$F$62</definedName>
    <definedName name="_PC1">'4322'!$F$15:$F$16,'4322'!$F$19:$F$20,'4322'!$F$23:$F$24,'4322'!$F$27:$F$28,'4322'!$F$31:$F$32,'4322'!$F$35:$F$36,'4322'!$F$39:$F$40,'4322'!$F$43:$F$44,'4322'!$F$47:$F$48,'4322'!$F$51:$F$52,'4322'!$F$55:$F$56,'4322'!$F$59:$F$60</definedName>
    <definedName name="_PC2">'4322'!$F$61:$F$62,'4322'!$F$57:$F$58,'4322'!$F$53:$F$54,'4322'!$F$49:$F$50,'4322'!$F$45:$F$46,'4322'!$F$41:$F$42,'4322'!$F$37:$F$38,'4322'!$F$33:$F$34,'4322'!$F$29:$F$30,'4322'!$F$25:$F$26,'4322'!$F$21:$F$22,'4322'!$F$17:$F$18</definedName>
    <definedName name="_PD1">'4322'!$F$15,'4322'!$F$17,'4322'!$F$19,'4322'!$F$21,'4322'!$F$23,'4322'!$F$25,'4322'!$F$27,'4322'!$F$29,'4322'!$F$31,'4322'!$F$33,'4322'!$F$35,'4322'!$F$37,'4322'!$F$39,'4322'!$F$41,'4322'!$F$43,'4322'!$F$45,'4322'!$F$47,'4322'!$F$49,'4322'!$F$51,'4322'!$F$53,'4322'!$F$55,'4322'!$F$57,'4322'!$F$59,'4322'!$F$61</definedName>
    <definedName name="_PD2">'4322'!$F$62,'4322'!$F$60,'4322'!$F$58,'4322'!$F$56,'4322'!$F$54,'4322'!$F$52,'4322'!$F$50,'4322'!$F$48,'4322'!$F$46,'4322'!$F$44,'4322'!$F$42,'4322'!$F$40,'4322'!$F$38,'4322'!$F$36,'4322'!$F$34,'4322'!$F$32,'4322'!$F$30,'4322'!$F$28,'4322'!$F$26,'4322'!$F$24,'4322'!$F$22,'4322'!$F$20,'4322'!$F$18,'4322'!$F$16</definedName>
    <definedName name="_qa1">'442'!$E$14:$E$21</definedName>
    <definedName name="_qa2">'442'!$E$22:$E$29</definedName>
    <definedName name="_qa3">'442'!$E$30:$E$37</definedName>
    <definedName name="_qa4">'442'!$E$38:$E$45</definedName>
    <definedName name="_qb1">'442'!$E$14:$E$15,'442'!$E$22:$E$23,'442'!$E$30:$E$31,'442'!$E$38:$E$39</definedName>
    <definedName name="_qb2">'442'!$E$24:$E$25,'442'!$E$16:$E$17,'442'!$E$32:$E$33,'442'!$E$40:$E$41</definedName>
    <definedName name="_qb3">'442'!$E$18:$E$19,'442'!$E$26:$E$27,'442'!$E$34:$E$35,'442'!$E$42:$E$43</definedName>
    <definedName name="_qb4">'442'!$E$20:$E$21,'442'!$E$28:$E$29,'442'!$E$36:$E$37,'442'!$E$44:$E$45</definedName>
    <definedName name="_qc1">'442'!$E$14,'442'!$E$16,'442'!$E$18,'442'!$E$20,'442'!$E$22,'442'!$E$24,'442'!$E$26,'442'!$E$28,'442'!$E$30,'442'!$E$32,'442'!$E$34,'442'!$E$36,'442'!$E$38,'442'!$E$40,'442'!$E$42,'442'!$E$44</definedName>
    <definedName name="_qc2">'442'!$E$15,'442'!$E$17,'442'!$E$19,'442'!$E$21,'442'!$E$23,'442'!$E$25,'442'!$E$27,'442'!$E$29,'442'!$E$31,'442'!$E$33,'442'!$E$35,'442'!$E$37,'442'!$E$39,'442'!$E$41,'442'!$E$43,'442'!$E$45</definedName>
    <definedName name="_RA1">'432'!$E$14:$E$19</definedName>
    <definedName name="_RA2">'432'!$E$20:$E$25</definedName>
    <definedName name="_RA3">'432'!$E$26:$E$31</definedName>
    <definedName name="_RA4">'432'!$E$32:$E$37</definedName>
    <definedName name="_RB1">'432'!$E$14:$E$15,'432'!$E$20:$E$21,'432'!$E$26:$E$27,'432'!$E$32:$E$33</definedName>
    <definedName name="_RB2">'432'!$E$16:$E$17,'432'!$E$22:$E$23,'432'!$E$28:$E$29,'432'!$E$34:$E$35</definedName>
    <definedName name="_RB3">'432'!$E$36:$E$37,'432'!$E$30:$E$31,'432'!$E$24:$E$25,'432'!$E$18:$E$19</definedName>
    <definedName name="_SA1">'[1]2n 3n 3n'!$E$8:$E$16</definedName>
    <definedName name="_SA2">'[1]2n 3n 3n'!$E$17:$E$25</definedName>
    <definedName name="_SB1">'[1]2n 3n 3n'!$E$8:$E$10,'[1]2n 3n 3n'!$E$17:$E$19</definedName>
    <definedName name="_SB2">'[1]2n 3n 3n'!$E$11:$E$13,'[1]2n 3n 3n'!$E$20:$E$22</definedName>
    <definedName name="_SB3">'[1]2n 3n 3n'!$E$14:$E$16,'[1]2n 3n 3n'!$E$23:$E$25</definedName>
    <definedName name="_SC1">'[1]2n 3n 3n'!$E$8,'[1]2n 3n 3n'!$E$11,'[1]2n 3n 3n'!$E$14,'[1]2n 3n 3n'!$E$17,'[1]2n 3n 3n'!$E$20,'[1]2n 3n 3n'!$E$23</definedName>
    <definedName name="_SC2">'[1]2n 3n 3n'!$E$9,'[1]2n 3n 3n'!$E$12,'[1]2n 3n 3n'!$E$15,'[1]2n 3n 3n'!$E$18,'[1]2n 3n 3n'!$E$21,'[1]2n 3n 3n'!$E$24</definedName>
    <definedName name="_SC3">'[1]2n 3n 3n'!$E$10,'[1]2n 3n 3n'!$E$13,'[1]2n 3n 3n'!$E$16,'[1]2n 3n 3n'!$E$19,'[1]2n 3n 3n'!$E$22,'[1]2n 3n 3n'!$E$25</definedName>
    <definedName name="_TA1">'[1]3n 3n 3n'!$E$8:$E$16</definedName>
    <definedName name="_TA2">'[1]3n 3n 3n'!$E$17:$E$25</definedName>
    <definedName name="_TA3">'[1]3n 3n 3n'!$E$26:$E$34</definedName>
    <definedName name="_TB1">'[1]3n 3n 3n'!$E$8:$E$10,'[1]3n 3n 3n'!$E$17:$E$19,'[1]3n 3n 3n'!$E$26:$E$28</definedName>
    <definedName name="_TB2">'[1]3n 3n 3n'!$E$11:$E$13,'[1]3n 3n 3n'!$E$20:$E$22,'[1]3n 3n 3n'!$E$29:$E$31</definedName>
    <definedName name="_TB3">'[1]3n 3n 3n'!$E$14:$E$16,'[1]3n 3n 3n'!$E$23:$E$25,'[1]3n 3n 3n'!$E$32:$E$34</definedName>
    <definedName name="_TC1">'[1]3n 3n 3n'!$E$8,'[1]3n 3n 3n'!$E$11,'[1]3n 3n 3n'!$E$14,'[1]3n 3n 3n'!$E$17,'[1]3n 3n 3n'!$E$20,'[1]3n 3n 3n'!$E$23,'[1]3n 3n 3n'!$E$26,'[1]3n 3n 3n'!$E$29,'[1]3n 3n 3n'!$E$32</definedName>
    <definedName name="_TC2">'[1]3n 3n 3n'!$E$9,'[1]3n 3n 3n'!$E$12,'[1]3n 3n 3n'!$E$15,'[1]3n 3n 3n'!$E$18,'[1]3n 3n 3n'!$E$21,'[1]3n 3n 3n'!$E$24,'[1]3n 3n 3n'!$E$27,'[1]3n 3n 3n'!$E$30,'[1]3n 3n 3n'!$E$33</definedName>
    <definedName name="_TC3">'[1]3n 3n 3n'!$E$10,'[1]3n 3n 3n'!$E$13,'[1]3n 3n 3n'!$E$16,'[1]3n 3n 3n'!$E$19,'[1]3n 3n 3n'!$E$22,'[1]3n 3n 3n'!$E$25,'[1]3n 3n 3n'!$E$28,'[1]3n 3n 3n'!$E$31,'[1]3n 3n 3n'!$E$34</definedName>
    <definedName name="_UA1">'[1]3n 2n 2n 2n'!$F$9:$F$16</definedName>
    <definedName name="_UA2">'[1]3n 2n 2n 2n'!$F$17:$F$24</definedName>
    <definedName name="_UA3">'[1]3n 2n 2n 2n'!$F$25:$F$32</definedName>
    <definedName name="_UB1">'[1]3n 2n 2n 2n'!$F$9:$F$12,'[1]3n 2n 2n 2n'!$F$17:$F$20,'[1]3n 2n 2n 2n'!$F$25:$F$28</definedName>
    <definedName name="_UB2">'[1]3n 2n 2n 2n'!$F$13:$F$16,'[1]3n 2n 2n 2n'!$F$21:$F$24,'[1]3n 2n 2n 2n'!$F$29:$F$32</definedName>
    <definedName name="_UC1">'[1]3n 2n 2n 2n'!$F$9:$F$10,'[1]3n 2n 2n 2n'!$F$13:$F$14,'[1]3n 2n 2n 2n'!$F$17:$F$18,'[1]3n 2n 2n 2n'!$F$21:$F$22,'[1]3n 2n 2n 2n'!$F$25:$F$26,'[1]3n 2n 2n 2n'!$F$29:$F$30</definedName>
    <definedName name="_UC2">'[1]3n 2n 2n 2n'!$F$11:$F$12,'[1]3n 2n 2n 2n'!$F$15:$F$16,'[1]3n 2n 2n 2n'!$F$19:$F$20,'[1]3n 2n 2n 2n'!$F$23:$F$24,'[1]3n 2n 2n 2n'!$F$27:$F$28,'[1]3n 2n 2n 2n'!$F$31:$F$32</definedName>
    <definedName name="_UD1">'[1]3n 2n 2n 2n'!$F$9,'[1]3n 2n 2n 2n'!$F$11,'[1]3n 2n 2n 2n'!$F$13,'[1]3n 2n 2n 2n'!$F$15,'[1]3n 2n 2n 2n'!$F$17,'[1]3n 2n 2n 2n'!$F$19,'[1]3n 2n 2n 2n'!$F$21,'[1]3n 2n 2n 2n'!$F$23,'[1]3n 2n 2n 2n'!$F$25,'[1]3n 2n 2n 2n'!$F$27,'[1]3n 2n 2n 2n'!$F$29,'[1]3n 2n 2n 2n'!$F$31</definedName>
    <definedName name="_UD2">'[1]3n 2n 2n 2n'!$F$10,'[1]3n 2n 2n 2n'!$F$12,'[1]3n 2n 2n 2n'!$F$14,'[1]3n 2n 2n 2n'!$F$16,'[1]3n 2n 2n 2n'!$F$18,'[1]3n 2n 2n 2n'!$F$20,'[1]3n 2n 2n 2n'!$F$22,'[1]3n 2n 2n 2n'!$F$24,'[1]3n 2n 2n 2n'!$F$26,'[1]3n 2n 2n 2n'!$F$28,'[1]3n 2n 2n 2n'!$F$30,'[1]3n 2n 2n 2n'!$F$32</definedName>
    <definedName name="_va1">'[1]3n 3n 2n 2n 2n'!$G$10:$G$33</definedName>
    <definedName name="_va2">'[1]3n 3n 2n 2n 2n'!$G$34:$G$57</definedName>
    <definedName name="_va3">'[1]3n 3n 2n 2n 2n'!$G$58:$G$81</definedName>
    <definedName name="_vb1">'[1]3n 3n 2n 2n 2n'!$G$10:$G$17,'[1]3n 3n 2n 2n 2n'!$G$34:$G$41,'[1]3n 3n 2n 2n 2n'!$G$58:$G$65</definedName>
    <definedName name="_vb2">'[1]3n 3n 2n 2n 2n'!$G$18:$G$25,'[1]3n 3n 2n 2n 2n'!$G$42:$G$49,'[1]3n 3n 2n 2n 2n'!$G$66:$G$73</definedName>
    <definedName name="_vb3">'[1]3n 3n 2n 2n 2n'!$G$26:$G$33,'[1]3n 3n 2n 2n 2n'!$G$50:$G$57,'[1]3n 3n 2n 2n 2n'!$G$74:$G$81</definedName>
    <definedName name="_vc1">'[1]3n 3n 2n 2n 2n'!$G$10:$G$13,'[1]3n 3n 2n 2n 2n'!$G$18:$G$21,'[1]3n 3n 2n 2n 2n'!$G$26:$G$29,'[1]3n 3n 2n 2n 2n'!$G$34:$G$37,'[1]3n 3n 2n 2n 2n'!$G$42:$G$45,'[1]3n 3n 2n 2n 2n'!$G$50:$G$53,'[1]3n 3n 2n 2n 2n'!$G$58:$G$61,'[1]3n 3n 2n 2n 2n'!$G$66:$G$69,'[1]3n 3n 2n 2n 2n'!$G$74:$G$77</definedName>
    <definedName name="_vc2">'[1]3n 3n 2n 2n 2n'!$G$14:$G$17,'[1]3n 3n 2n 2n 2n'!$G$22:$G$25,'[1]3n 3n 2n 2n 2n'!$G$30:$G$33,'[1]3n 3n 2n 2n 2n'!$G$38:$G$41,'[1]3n 3n 2n 2n 2n'!$G$46:$G$49,'[1]3n 3n 2n 2n 2n'!$G$54:$G$57,'[1]3n 3n 2n 2n 2n'!$G$62:$G$65,'[1]3n 3n 2n 2n 2n'!$G$70:$G$73,'[1]3n 3n 2n 2n 2n'!$G$78:$G$81</definedName>
    <definedName name="_vd1">'[1]3n 3n 2n 2n 2n'!$G$10:$G$11,'[1]3n 3n 2n 2n 2n'!$G$14:$G$15,'[1]3n 3n 2n 2n 2n'!$G$18:$G$19,'[1]3n 3n 2n 2n 2n'!$G$22:$G$23,'[1]3n 3n 2n 2n 2n'!$G$26:$G$27,'[1]3n 3n 2n 2n 2n'!$G$30:$G$31,'[1]3n 3n 2n 2n 2n'!$G$34:$G$35,'[1]3n 3n 2n 2n 2n'!$G$38:$G$39,'[1]3n 3n 2n 2n 2n'!$G$42:$G$43,'[1]3n 3n 2n 2n 2n'!$G$46:$G$47,'[1]3n 3n 2n 2n 2n'!$G$50:$G$51,'[1]3n 3n 2n 2n 2n'!$G$54:$G$55,'[1]3n 3n 2n 2n 2n'!$G$58:$G$59,'[1]3n 3n 2n 2n 2n'!$G$62:$G$63,'[1]3n 3n 2n 2n 2n'!$G$66:$G$67,'[1]3n 3n 2n 2n 2n'!$G$70:$G$71,'[1]3n 3n 2n 2n 2n'!$G$74:$G$75,'[1]3n 3n 2n 2n 2n'!$G$78:$G$79</definedName>
    <definedName name="_vd2">'[1]3n 3n 2n 2n 2n'!$G$12:$G$13,'[1]3n 3n 2n 2n 2n'!$G$16:$G$17,'[1]3n 3n 2n 2n 2n'!$G$20:$G$21,'[1]3n 3n 2n 2n 2n'!$G$24:$G$25,'[1]3n 3n 2n 2n 2n'!$G$28:$G$29,'[1]3n 3n 2n 2n 2n'!$G$32:$G$33,'[1]3n 3n 2n 2n 2n'!$G$36:$G$37,'[1]3n 3n 2n 2n 2n'!$G$40:$G$41,'[1]3n 3n 2n 2n 2n'!$G$44:$G$45,'[1]3n 3n 2n 2n 2n'!$G$48:$G$49,'[1]3n 3n 2n 2n 2n'!$G$52:$G$53,'[1]3n 3n 2n 2n 2n'!$G$56:$G$57,'[1]3n 3n 2n 2n 2n'!$G$60:$G$61,'[1]3n 3n 2n 2n 2n'!$G$64:$G$65,'[1]3n 3n 2n 2n 2n'!$G$68:$G$69,'[1]3n 3n 2n 2n 2n'!$G$72:$G$73,'[1]3n 3n 2n 2n 2n'!$G$76:$G$77,'[1]3n 3n 2n 2n 2n'!$G$80:$G$81</definedName>
    <definedName name="PA1B1">'4322'!$F$15:$F$18</definedName>
    <definedName name="PA1B2">'4322'!$F$19:$F$22</definedName>
    <definedName name="PA1B3">'4322'!$F$23:$F$26</definedName>
    <definedName name="PA1C1">'4322'!$F$15:$F$16,'4322'!$F$19:$F$20,'4322'!$F$23:$F$24</definedName>
    <definedName name="PA1C2">'4322'!$F$17:$F$18,'4322'!$F$21:$F$22,'4322'!$F$25:$F$26</definedName>
    <definedName name="PA1D1">'4322'!$F$15,'4322'!$F$17,'4322'!$F$19,'4322'!$F$21,'4322'!$F$23,'4322'!$F$25</definedName>
    <definedName name="PA1D2">'4322'!$F$16,'4322'!$F$18,'4322'!$F$20,'4322'!$F$22,'4322'!$F$24,'4322'!$F$26</definedName>
    <definedName name="PA2B1">'4322'!$F$27:$F$30</definedName>
    <definedName name="PA2B2">'4322'!$F$31:$F$34</definedName>
    <definedName name="PA2B3">'4322'!$F$35:$F$38</definedName>
    <definedName name="PA2C1">'4322'!$F$27:$F$28,'4322'!$F$31:$F$32,'4322'!$F$35:$F$36</definedName>
    <definedName name="PA2C2">'4322'!$F$29:$F$30,'4322'!$F$33:$F$34,'4322'!$F$37:$F$38</definedName>
    <definedName name="PA2D1">'4322'!$F$27,'4322'!$F$29,'4322'!$F$31,'4322'!$F$33,'4322'!$F$35,'4322'!$F$37</definedName>
    <definedName name="PA2D2">'4322'!$F$28,'4322'!$F$30,'4322'!$F$32,'4322'!$F$34,'4322'!$F$36,'4322'!$F$38</definedName>
    <definedName name="PA3B1">'4322'!$F$39:$F$42</definedName>
    <definedName name="PA3B2">'4322'!$F$43:$F$46</definedName>
    <definedName name="PA3B3">'4322'!$F$47:$F$50</definedName>
    <definedName name="PA3C1">'4322'!$F$39:$F$40,'4322'!$F$43:$F$44,'4322'!$F$47:$F$48</definedName>
    <definedName name="PA3C2">'4322'!$F$41:$F$42,'4322'!$F$45:$F$46,'4322'!$F$49:$F$50</definedName>
    <definedName name="PA3D1">'4322'!$F$39,'4322'!$F$41,'4322'!$F$43,'4322'!$F$45,'4322'!$F$47,'4322'!$F$49</definedName>
    <definedName name="PA3D2">'4322'!$F$40,'4322'!$F$42,'4322'!$F$44,'4322'!$F$46,'4322'!$F$48,'4322'!$F$50</definedName>
    <definedName name="PA4B1">'4322'!$F$51:$F$54</definedName>
    <definedName name="PA4B2">'4322'!$F$55:$F$58</definedName>
    <definedName name="PA4B3">'4322'!$F$59:$F$62</definedName>
    <definedName name="PA4C1">'4322'!$F$51:$F$52,'4322'!$F$55:$F$56,'4322'!$F$59:$F$60</definedName>
    <definedName name="PA4C2">'4322'!$F$53:$F$54,'4322'!$F$57:$F$58,'4322'!$F$61:$F$62</definedName>
    <definedName name="PA4D1">'4322'!$F$51,'4322'!$F$53,'4322'!$F$55,'4322'!$F$57,'4322'!$F$59,'4322'!$F$61</definedName>
    <definedName name="PA4D2">'4322'!$F$52,'4322'!$F$54,'4322'!$F$56,'4322'!$F$58,'4322'!$F$60,'4322'!$F$62</definedName>
    <definedName name="PB1C1">'4322'!$F$15:$F$16,'4322'!$F$27:$F$28,'4322'!$F$39:$F$40,'4322'!$F$51:$F$52</definedName>
    <definedName name="PB1C2">'4322'!$F$17:$F$18,'4322'!$F$29:$F$30,'4322'!$F$41:$F$42,'4322'!$F$53:$F$54</definedName>
    <definedName name="PB1D1">'4322'!$F$15,'4322'!$F$17,'4322'!$F$27,'4322'!$F$29,'4322'!$F$39,'4322'!$F$41,'4322'!$F$51,'4322'!$F$53</definedName>
    <definedName name="PB1D2">'4322'!$F$16,'4322'!$F$18,'4322'!$F$28,'4322'!$F$30,'4322'!$F$40,'4322'!$F$42,'4322'!$F$52,'4322'!$F$54</definedName>
    <definedName name="PB2C1">'4322'!$F$19:$F$20,'4322'!$F$31:$F$32,'4322'!$F$43:$F$44,'4322'!$F$55:$F$56</definedName>
    <definedName name="PB2C2">'4322'!$F$21:$F$22,'4322'!$F$33:$F$34,'4322'!$F$45:$F$46,'4322'!$F$57:$F$58</definedName>
    <definedName name="PB2D1">'4322'!$F$19,'4322'!$F$21,'4322'!$F$31,'4322'!$F$33,'4322'!$F$43,'4322'!$F$45,'4322'!$F$55,'4322'!$F$57</definedName>
    <definedName name="PB2D2">'4322'!$F$20,'4322'!$F$22,'4322'!$F$32,'4322'!$F$34,'4322'!$F$44,'4322'!$F$46,'4322'!$F$56,'4322'!$F$58</definedName>
    <definedName name="PB3C1">'4322'!$F$23:$F$24,'4322'!$F$35:$F$36,'4322'!$F$47:$F$48,'4322'!$F$59:$F$60</definedName>
    <definedName name="PB3C2">'4322'!$F$25:$F$26,'4322'!$F$37:$F$38,'4322'!$F$49:$F$50,'4322'!$F$61:$F$62</definedName>
    <definedName name="PB3D1">'4322'!$F$23,'4322'!$F$25,'4322'!$F$35,'4322'!$F$37,'4322'!$F$47,'4322'!$F$49,'4322'!$F$59,'4322'!$F$61</definedName>
    <definedName name="PB3D2">'4322'!$F$24,'4322'!$F$26,'4322'!$F$36,'4322'!$F$38,'4322'!$F$48,'4322'!$F$50,'4322'!$F$60,'4322'!$F$62</definedName>
    <definedName name="PC1D1">'4322'!$F$15,'4322'!$F$19,'4322'!$F$23,'4322'!$F$27,'4322'!$F$31,'4322'!$F$35,'4322'!$F$39,'4322'!$F$43,'4322'!$F$47,'4322'!$F$51,'4322'!$F$55,'4322'!$F$59</definedName>
    <definedName name="PC1D2">'4322'!$F$60,'4322'!$F$56,'4322'!$F$52,'4322'!$F$48,'4322'!$F$44,'4322'!$F$40,'4322'!$F$36,'4322'!$F$32,'4322'!$F$28,'4322'!$F$24,'4322'!$F$20,'4322'!$F$16</definedName>
    <definedName name="PC2D1">'4322'!$F$17,'4322'!$F$21,'4322'!$F$25,'4322'!$F$29,'4322'!$F$33,'4322'!$F$37,'4322'!$F$41,'4322'!$F$45,'4322'!$F$49,'4322'!$F$53,'4322'!$F$57,'4322'!$F$61</definedName>
    <definedName name="PC2D2">'4322'!$F$18,'4322'!$F$22,'4322'!$F$26,'4322'!$F$30,'4322'!$F$34,'4322'!$F$38,'4322'!$F$42,'4322'!$F$46,'4322'!$F$50,'4322'!$F$54,'4322'!$F$58,'4322'!$F$62</definedName>
    <definedName name="qa1b1">'442'!$E$14:$E$15</definedName>
    <definedName name="qa1b2">'442'!$E$16:$E$17</definedName>
    <definedName name="qa1b3">'442'!$E$18:$E$19</definedName>
    <definedName name="qa1b4">'442'!$E$20:$E$21</definedName>
    <definedName name="qa1c1">'442'!$E$14,'442'!$E$16,'442'!$E$18,'442'!$E$20</definedName>
    <definedName name="qa1c2">'442'!$E$15,'442'!$E$17,'442'!$E$19,'442'!$E$21</definedName>
    <definedName name="qa2b1">'442'!$E$22:$E$23</definedName>
    <definedName name="qa2b2">'442'!$E$24:$E$25</definedName>
    <definedName name="qa2b3">'442'!$E$26:$E$27</definedName>
    <definedName name="qa2b4">'442'!$E$28:$E$29</definedName>
    <definedName name="qa2c1">'442'!$E$22,'442'!$E$24,'442'!$E$26,'442'!$E$28</definedName>
    <definedName name="qa2c2">'442'!$E$23,'442'!$E$25,'442'!$E$27,'442'!$E$29</definedName>
    <definedName name="qa3b1">'442'!$E$30:$E$31</definedName>
    <definedName name="qa3b2">'442'!$E$32:$E$33</definedName>
    <definedName name="qa3b3">'442'!$E$34:$E$35</definedName>
    <definedName name="qa3b4">'442'!$E$36:$E$37</definedName>
    <definedName name="qa3c1">'442'!$E$30,'442'!$E$32,'442'!$E$34,'442'!$E$36</definedName>
    <definedName name="qa3c2">'442'!$E$31,'442'!$E$33,'442'!$E$35,'442'!$E$37</definedName>
    <definedName name="qa4b1">'442'!$E$38:$E$39</definedName>
    <definedName name="qa4b2">'442'!$E$40:$E$41</definedName>
    <definedName name="qa4b3">'442'!$E$42:$E$43</definedName>
    <definedName name="qa4b4">'442'!$E$44:$E$45</definedName>
    <definedName name="qa4c1">'442'!$E$38,'442'!$E$40,'442'!$E$42,'442'!$E$44</definedName>
    <definedName name="qa4c2">'442'!$E$39,'442'!$E$41,'442'!$E$43,'442'!$E$45</definedName>
    <definedName name="qb1c1">'442'!$E$14,'442'!$E$22,'442'!$E$30,'442'!$E$38</definedName>
    <definedName name="qb1c2">'442'!$E$15,'442'!$E$23,'442'!$E$31,'442'!$E$39</definedName>
    <definedName name="qb2c1">'442'!$E$16,'442'!$E$24,'442'!$E$32,'442'!$E$40</definedName>
    <definedName name="qb2c2">'442'!$E$17,'442'!$E$25,'442'!$E$33,'442'!$E$41</definedName>
    <definedName name="qb3c1">'442'!$E$18,'442'!$E$26,'442'!$E$34,'442'!$E$42</definedName>
    <definedName name="qb3c2">'442'!$E$19,'442'!$E$27,'442'!$E$35,'442'!$E$43</definedName>
    <definedName name="qb4c1">'442'!$E$20,'442'!$E$28,'442'!$E$36,'442'!$E$44</definedName>
    <definedName name="qb4c2">'442'!$E$21,'442'!$E$29,'442'!$E$37,'442'!$E$45</definedName>
    <definedName name="RA1B1">'432'!$E$14:$E$15</definedName>
    <definedName name="RA1B2">'432'!$E$16:$E$17</definedName>
    <definedName name="RA1B3">'432'!$E$18:$E$19</definedName>
    <definedName name="RA1C1">'432'!$E$14:$E$14,'432'!$E$16:$E$16,'432'!$E$18:$E$18</definedName>
    <definedName name="RA1C2">'432'!$E$15:$E$15,'432'!$E$17:$E$17,'432'!$E$19:$E$19</definedName>
    <definedName name="RA2B1">'432'!$E$20:$E$21</definedName>
    <definedName name="RA2B2">'432'!$E$22:$E$23</definedName>
    <definedName name="RA2B3">'432'!$E$24:$E$25</definedName>
    <definedName name="RA2C1">'432'!$E$20:$E$20,'432'!$E$22:$E$22,'432'!$E$24:$E$24</definedName>
    <definedName name="RA2C2">'432'!$E$21:$E$21,'432'!$E$23:$E$23,'432'!$E$25:$E$25</definedName>
    <definedName name="RA3B1">'432'!$E$26:$E$27</definedName>
    <definedName name="RA3B2">'432'!$E$28:$E$29</definedName>
    <definedName name="RA3B3">'432'!$E$30:$E$31</definedName>
    <definedName name="RA3C1">'432'!$E$26:$E$26,'432'!$E$28:$E$28,'432'!$E$30:$E$30</definedName>
    <definedName name="RA3C2">'432'!$E$27:$E$27,'432'!$E$29:$E$29,'432'!$E$31:$E$31</definedName>
    <definedName name="RA4B1">'432'!$E$32:$E$33</definedName>
    <definedName name="RA4B2">'432'!$E$34:$E$35</definedName>
    <definedName name="RA4B3">'432'!$E$36:$E$37</definedName>
    <definedName name="RA4C1">'432'!$E$32:$E$32,'432'!$E$34:$E$34,'432'!$E$36:$E$36</definedName>
    <definedName name="RA4C2">'432'!$E$33:$E$33,'432'!$E$35:$E$35,'432'!$E$37:$E$37</definedName>
    <definedName name="RB1C1">'432'!$E$14:$E$14,'432'!$E$20:$E$20,'432'!$E$26:$E$26,'432'!$E$32:$E$32</definedName>
    <definedName name="RB1C2">'432'!$E$15:$E$15,'432'!$E$21:$E$21,'432'!$E$27:$E$27,'432'!$E$33:$E$33</definedName>
    <definedName name="RB2C1">'432'!$E$16:$E$16,'432'!$E$22:$E$22,'432'!$E$28:$E$28,'432'!$E$34:$E$34</definedName>
    <definedName name="RB2C2">'432'!$E$17:$E$17,'432'!$E$23:$E$23,'432'!$E$29:$E$29,'432'!$E$35:$E$35</definedName>
    <definedName name="RB3C1">'432'!$E$18:$E$18,'432'!$E$24:$E$24,'432'!$E$30:$E$30,'432'!$E$36:$E$36</definedName>
    <definedName name="RB3C2">'432'!$E$19:$E$19,'432'!$E$25:$E$25,'432'!$E$31:$E$31,'432'!$E$37:$E$37</definedName>
    <definedName name="ua1b1">'[1]3n 2n 2n 2n'!$F$9:$F$12</definedName>
    <definedName name="ua1b2">'[1]3n 2n 2n 2n'!$F$13:$F$16</definedName>
    <definedName name="ua1c1">'[1]3n 2n 2n 2n'!$F$9:$F$10,'[1]3n 2n 2n 2n'!$F$13:$F$14</definedName>
    <definedName name="ua1c2">'[1]3n 2n 2n 2n'!$F$11:$F$12,'[1]3n 2n 2n 2n'!$F$15:$F$16</definedName>
    <definedName name="ua1d1">'[1]3n 2n 2n 2n'!$F$9,'[1]3n 2n 2n 2n'!$F$11,'[1]3n 2n 2n 2n'!$F$13,'[1]3n 2n 2n 2n'!$F$15</definedName>
    <definedName name="ua1d2">'[1]3n 2n 2n 2n'!$F$10,'[1]3n 2n 2n 2n'!$F$12,'[1]3n 2n 2n 2n'!$F$14,'[1]3n 2n 2n 2n'!$F$16</definedName>
    <definedName name="ua2b1">'[1]3n 2n 2n 2n'!$F$17:$F$20</definedName>
    <definedName name="ua2b2">'[1]3n 2n 2n 2n'!$F$21:$F$24</definedName>
    <definedName name="ua2c1">'[1]3n 2n 2n 2n'!$F$17:$F$18,'[1]3n 2n 2n 2n'!$F$21:$F$22</definedName>
    <definedName name="ua2c2">'[1]3n 2n 2n 2n'!$F$19:$F$20,'[1]3n 2n 2n 2n'!$F$23:$F$24</definedName>
    <definedName name="ua2d1">'[1]3n 2n 2n 2n'!$F$17,'[1]3n 2n 2n 2n'!$F$19,'[1]3n 2n 2n 2n'!$F$21,'[1]3n 2n 2n 2n'!$F$23</definedName>
    <definedName name="ua2d2">'[1]3n 2n 2n 2n'!$F$18,'[1]3n 2n 2n 2n'!$F$20,'[1]3n 2n 2n 2n'!$F$22,'[1]3n 2n 2n 2n'!$F$24</definedName>
    <definedName name="ua3b1">'[1]3n 2n 2n 2n'!$F$25:$F$28</definedName>
    <definedName name="ua3b2">'[1]3n 2n 2n 2n'!$F$29:$F$32</definedName>
    <definedName name="ua3c1">'[1]3n 2n 2n 2n'!$F$25:$F$26,'[1]3n 2n 2n 2n'!$F$29:$F$30</definedName>
    <definedName name="ua3c2">'[1]3n 2n 2n 2n'!$F$27:$F$28,'[1]3n 2n 2n 2n'!$F$31:$F$32</definedName>
    <definedName name="ua3d1">'[1]3n 2n 2n 2n'!$F$25,'[1]3n 2n 2n 2n'!$F$27,'[1]3n 2n 2n 2n'!$F$29,'[1]3n 2n 2n 2n'!$F$31</definedName>
    <definedName name="ua3d2">'[1]3n 2n 2n 2n'!$F$26,'[1]3n 2n 2n 2n'!$F$28,'[1]3n 2n 2n 2n'!$F$30,'[1]3n 2n 2n 2n'!$F$32</definedName>
    <definedName name="ub1c1">'[1]3n 2n 2n 2n'!$F$9:$F$10,'[1]3n 2n 2n 2n'!$F$17:$F$18,'[1]3n 2n 2n 2n'!$F$25:$F$26</definedName>
    <definedName name="ub1c2">'[1]3n 2n 2n 2n'!$F$11:$F$12,'[1]3n 2n 2n 2n'!$F$19:$F$20,'[1]3n 2n 2n 2n'!$F$27:$F$28</definedName>
    <definedName name="ub1d1">'[1]3n 2n 2n 2n'!$F$27,'[1]3n 2n 2n 2n'!$F$25,'[1]3n 2n 2n 2n'!$F$19,'[1]3n 2n 2n 2n'!$F$17,'[1]3n 2n 2n 2n'!$F$9,'[1]3n 2n 2n 2n'!$F$11</definedName>
    <definedName name="ub1d2">'[1]3n 2n 2n 2n'!$F$10,'[1]3n 2n 2n 2n'!$F$12,'[1]3n 2n 2n 2n'!$F$18,'[1]3n 2n 2n 2n'!$F$20,'[1]3n 2n 2n 2n'!$F$26,'[1]3n 2n 2n 2n'!$F$28</definedName>
    <definedName name="ub2c1">'[1]3n 2n 2n 2n'!$F$13:$F$14,'[1]3n 2n 2n 2n'!$F$21:$F$22,'[1]3n 2n 2n 2n'!$F$29:$F$30</definedName>
    <definedName name="ub2c2">'[1]3n 2n 2n 2n'!$F$15:$F$16,'[1]3n 2n 2n 2n'!$F$23:$F$24,'[1]3n 2n 2n 2n'!$F$31:$F$32</definedName>
    <definedName name="ub2d1">'[1]3n 2n 2n 2n'!$F$13,'[1]3n 2n 2n 2n'!$F$15,'[1]3n 2n 2n 2n'!$F$21,'[1]3n 2n 2n 2n'!$F$23,'[1]3n 2n 2n 2n'!$F$29,'[1]3n 2n 2n 2n'!$F$31</definedName>
    <definedName name="ub2d2">'[1]3n 2n 2n 2n'!$F$14,'[1]3n 2n 2n 2n'!$F$16,'[1]3n 2n 2n 2n'!$F$22,'[1]3n 2n 2n 2n'!$F$24,'[1]3n 2n 2n 2n'!$F$30,'[1]3n 2n 2n 2n'!$F$32</definedName>
    <definedName name="uc1d1">'[1]3n 2n 2n 2n'!$F$9,'[1]3n 2n 2n 2n'!$F$13,'[1]3n 2n 2n 2n'!$F$17,'[1]3n 2n 2n 2n'!$F$21,'[1]3n 2n 2n 2n'!$F$25,'[1]3n 2n 2n 2n'!$F$29</definedName>
    <definedName name="uc1d2">'[1]3n 2n 2n 2n'!$F$10,'[1]3n 2n 2n 2n'!$F$14,'[1]3n 2n 2n 2n'!$F$18,'[1]3n 2n 2n 2n'!$F$22,'[1]3n 2n 2n 2n'!$F$26,'[1]3n 2n 2n 2n'!$F$30</definedName>
    <definedName name="uc2d1">'[1]3n 2n 2n 2n'!$F$11,'[1]3n 2n 2n 2n'!$F$15,'[1]3n 2n 2n 2n'!$F$19,'[1]3n 2n 2n 2n'!$F$23,'[1]3n 2n 2n 2n'!$F$27,'[1]3n 2n 2n 2n'!$F$31</definedName>
    <definedName name="uc2d2">'[1]3n 2n 2n 2n'!$F$12,'[1]3n 2n 2n 2n'!$F$16,'[1]3n 2n 2n 2n'!$F$20,'[1]3n 2n 2n 2n'!$F$24,'[1]3n 2n 2n 2n'!$F$28,'[1]3n 2n 2n 2n'!$F$32</definedName>
    <definedName name="va1b1">'[1]3n 3n 2n 2n 2n'!$G$10:$G$17</definedName>
    <definedName name="va1b2">'[1]3n 3n 2n 2n 2n'!$G$18:$G$25</definedName>
    <definedName name="va1b3">'[1]3n 3n 2n 2n 2n'!$G$26:$G$33</definedName>
    <definedName name="va1c1">'[1]3n 3n 2n 2n 2n'!$G$10:$G$13,'[1]3n 3n 2n 2n 2n'!$G$18:$G$21,'[1]3n 3n 2n 2n 2n'!$G$26:$G$29</definedName>
    <definedName name="va1c2">'[1]3n 3n 2n 2n 2n'!$G$30:$G$33,'[1]3n 3n 2n 2n 2n'!$G$22:$G$25,'[1]3n 3n 2n 2n 2n'!$G$14:$G$17</definedName>
    <definedName name="va1d1">'[1]3n 3n 2n 2n 2n'!$G$10:$G$11,'[1]3n 3n 2n 2n 2n'!$G$14:$G$15,'[1]3n 3n 2n 2n 2n'!$G$18:$G$19,'[1]3n 3n 2n 2n 2n'!$G$22:$G$23,'[1]3n 3n 2n 2n 2n'!$G$26:$G$27,'[1]3n 3n 2n 2n 2n'!$G$30:$G$31</definedName>
    <definedName name="va1d2">'[1]3n 3n 2n 2n 2n'!$G$12:$G$13,'[1]3n 3n 2n 2n 2n'!$G$16:$G$17,'[1]3n 3n 2n 2n 2n'!$G$20:$G$21,'[1]3n 3n 2n 2n 2n'!$G$24:$G$25,'[1]3n 3n 2n 2n 2n'!$G$28:$G$29,'[1]3n 3n 2n 2n 2n'!$G$32:$G$33</definedName>
    <definedName name="va1e1">'[1]3n 3n 2n 2n 2n'!$G$10,'[1]3n 3n 2n 2n 2n'!$G$12,'[1]3n 3n 2n 2n 2n'!$G$14,'[1]3n 3n 2n 2n 2n'!$G$16,'[1]3n 3n 2n 2n 2n'!$G$18,'[1]3n 3n 2n 2n 2n'!$G$20,'[1]3n 3n 2n 2n 2n'!$G$22,'[1]3n 3n 2n 2n 2n'!$G$24,'[1]3n 3n 2n 2n 2n'!$G$26,'[1]3n 3n 2n 2n 2n'!$G$28,'[1]3n 3n 2n 2n 2n'!$G$30,'[1]3n 3n 2n 2n 2n'!$G$32</definedName>
    <definedName name="va1e2">'[1]3n 3n 2n 2n 2n'!$G$33,'[1]3n 3n 2n 2n 2n'!$G$31,'[1]3n 3n 2n 2n 2n'!$G$29,'[1]3n 3n 2n 2n 2n'!$G$27,'[1]3n 3n 2n 2n 2n'!$G$25,'[1]3n 3n 2n 2n 2n'!$G$23,'[1]3n 3n 2n 2n 2n'!$G$21,'[1]3n 3n 2n 2n 2n'!$G$19,'[1]3n 3n 2n 2n 2n'!$G$17,'[1]3n 3n 2n 2n 2n'!$G$15,'[1]3n 3n 2n 2n 2n'!$G$13,'[1]3n 3n 2n 2n 2n'!$G$11</definedName>
    <definedName name="va2b1">'[1]3n 3n 2n 2n 2n'!$G$34:$G$41</definedName>
    <definedName name="va2b2">'[1]3n 3n 2n 2n 2n'!$G$42:$G$49</definedName>
    <definedName name="va2b3">'[1]3n 3n 2n 2n 2n'!$G$50:$G$57</definedName>
    <definedName name="va2c1">'[1]3n 3n 2n 2n 2n'!$G$34:$G$37,'[1]3n 3n 2n 2n 2n'!$G$42:$G$45,'[1]3n 3n 2n 2n 2n'!$G$50:$G$53</definedName>
    <definedName name="va2c2">'[1]3n 3n 2n 2n 2n'!$G$54:$G$57,'[1]3n 3n 2n 2n 2n'!$G$46:$G$49,'[1]3n 3n 2n 2n 2n'!$G$38:$G$41</definedName>
    <definedName name="va2d1">'[1]3n 3n 2n 2n 2n'!$G$34:$G$35,'[1]3n 3n 2n 2n 2n'!$G$38:$G$39,'[1]3n 3n 2n 2n 2n'!$G$42:$G$43,'[1]3n 3n 2n 2n 2n'!$G$46:$G$47,'[1]3n 3n 2n 2n 2n'!$G$50:$G$51,'[1]3n 3n 2n 2n 2n'!$G$54:$G$55</definedName>
    <definedName name="va2d2">'[1]3n 3n 2n 2n 2n'!$G$56:$G$57,'[1]3n 3n 2n 2n 2n'!$G$52:$G$53,'[1]3n 3n 2n 2n 2n'!$G$48:$G$49,'[1]3n 3n 2n 2n 2n'!$G$44:$G$45,'[1]3n 3n 2n 2n 2n'!$G$40:$G$41,'[1]3n 3n 2n 2n 2n'!$G$36:$G$37</definedName>
    <definedName name="va2e1">'[1]3n 3n 2n 2n 2n'!$G$34,'[1]3n 3n 2n 2n 2n'!$G$36,'[1]3n 3n 2n 2n 2n'!$G$38,'[1]3n 3n 2n 2n 2n'!$G$40,'[1]3n 3n 2n 2n 2n'!$G$42,'[1]3n 3n 2n 2n 2n'!$G$44,'[1]3n 3n 2n 2n 2n'!$G$46,'[1]3n 3n 2n 2n 2n'!$G$48,'[1]3n 3n 2n 2n 2n'!$G$50,'[1]3n 3n 2n 2n 2n'!$G$52,'[1]3n 3n 2n 2n 2n'!$G$54,'[1]3n 3n 2n 2n 2n'!$G$56</definedName>
    <definedName name="va2e2">'[1]3n 3n 2n 2n 2n'!$G$57,'[1]3n 3n 2n 2n 2n'!$G$55,'[1]3n 3n 2n 2n 2n'!$G$53,'[1]3n 3n 2n 2n 2n'!$G$51,'[1]3n 3n 2n 2n 2n'!$G$49,'[1]3n 3n 2n 2n 2n'!$G$47,'[1]3n 3n 2n 2n 2n'!$G$45,'[1]3n 3n 2n 2n 2n'!$G$43,'[1]3n 3n 2n 2n 2n'!$G$41,'[1]3n 3n 2n 2n 2n'!$G$39,'[1]3n 3n 2n 2n 2n'!$G$37,'[1]3n 3n 2n 2n 2n'!$G$35</definedName>
    <definedName name="va3b1">'[1]3n 3n 2n 2n 2n'!$G$58:$G$65</definedName>
    <definedName name="va3b2">'[1]3n 3n 2n 2n 2n'!$G$66:$G$73</definedName>
    <definedName name="va3b3">'[1]3n 3n 2n 2n 2n'!$G$74:$G$81</definedName>
    <definedName name="va3c1">'[1]3n 3n 2n 2n 2n'!$G$58:$G$61,'[1]3n 3n 2n 2n 2n'!$G$66:$G$69,'[1]3n 3n 2n 2n 2n'!$G$74:$G$77</definedName>
    <definedName name="va3c2">'[1]3n 3n 2n 2n 2n'!$G$78:$G$81,'[1]3n 3n 2n 2n 2n'!$G$70:$G$73,'[1]3n 3n 2n 2n 2n'!$G$62:$G$65</definedName>
    <definedName name="va3d1">'[1]3n 3n 2n 2n 2n'!$G$58:$G$59,'[1]3n 3n 2n 2n 2n'!$G$62:$G$63,'[1]3n 3n 2n 2n 2n'!$G$66:$G$67,'[1]3n 3n 2n 2n 2n'!$G$70:$G$71,'[1]3n 3n 2n 2n 2n'!$G$74:$G$75,'[1]3n 3n 2n 2n 2n'!$G$78:$G$79</definedName>
    <definedName name="va3d2">'[1]3n 3n 2n 2n 2n'!$G$80:$G$81,'[1]3n 3n 2n 2n 2n'!$G$76:$G$77,'[1]3n 3n 2n 2n 2n'!$G$72:$G$73,'[1]3n 3n 2n 2n 2n'!$G$68:$G$69,'[1]3n 3n 2n 2n 2n'!$G$64:$G$65,'[1]3n 3n 2n 2n 2n'!$G$60:$G$61</definedName>
    <definedName name="va3e1">'[1]3n 3n 2n 2n 2n'!$G$58,'[1]3n 3n 2n 2n 2n'!$G$60,'[1]3n 3n 2n 2n 2n'!$G$62,'[1]3n 3n 2n 2n 2n'!$G$64,'[1]3n 3n 2n 2n 2n'!$G$66,'[1]3n 3n 2n 2n 2n'!$G$68,'[1]3n 3n 2n 2n 2n'!$G$70,'[1]3n 3n 2n 2n 2n'!$G$72,'[1]3n 3n 2n 2n 2n'!$G$74,'[1]3n 3n 2n 2n 2n'!$G$76,'[1]3n 3n 2n 2n 2n'!$G$78,'[1]3n 3n 2n 2n 2n'!$G$80</definedName>
    <definedName name="va3e2">'[1]3n 3n 2n 2n 2n'!$G$81,'[1]3n 3n 2n 2n 2n'!$G$79,'[1]3n 3n 2n 2n 2n'!$G$77,'[1]3n 3n 2n 2n 2n'!$G$75,'[1]3n 3n 2n 2n 2n'!$G$73,'[1]3n 3n 2n 2n 2n'!$G$71,'[1]3n 3n 2n 2n 2n'!$G$69,'[1]3n 3n 2n 2n 2n'!$G$67,'[1]3n 3n 2n 2n 2n'!$G$65,'[1]3n 3n 2n 2n 2n'!$G$63,'[1]3n 3n 2n 2n 2n'!$G$61,'[1]3n 3n 2n 2n 2n'!$G$59</definedName>
    <definedName name="vb1c1">'[1]3n 3n 2n 2n 2n'!$G$10:$G$13,'[1]3n 3n 2n 2n 2n'!$G$34:$G$37,'[1]3n 3n 2n 2n 2n'!$G$58:$G$61</definedName>
    <definedName name="vb1c2">'[1]3n 3n 2n 2n 2n'!$G$14:$G$17,'[1]3n 3n 2n 2n 2n'!$G$38:$G$41,'[1]3n 3n 2n 2n 2n'!$G$62:$G$65</definedName>
    <definedName name="vb1d1">'[1]3n 3n 2n 2n 2n'!$G$10:$G$11,'[1]3n 3n 2n 2n 2n'!$G$14:$G$15,'[1]3n 3n 2n 2n 2n'!$G$34:$G$35,'[1]3n 3n 2n 2n 2n'!$G$38:$G$39,'[1]3n 3n 2n 2n 2n'!$G$58:$G$59,'[1]3n 3n 2n 2n 2n'!$G$62:$G$63</definedName>
    <definedName name="vb1d2">'[1]3n 3n 2n 2n 2n'!$G$12:$G$13,'[1]3n 3n 2n 2n 2n'!$G$16:$G$17,'[1]3n 3n 2n 2n 2n'!$G$36:$G$37,'[1]3n 3n 2n 2n 2n'!$G$40:$G$41,'[1]3n 3n 2n 2n 2n'!$G$60:$G$61,'[1]3n 3n 2n 2n 2n'!$G$64:$G$65</definedName>
    <definedName name="vb1e1">'[1]3n 3n 2n 2n 2n'!$G$10,'[1]3n 3n 2n 2n 2n'!$G$12,'[1]3n 3n 2n 2n 2n'!$G$14,'[1]3n 3n 2n 2n 2n'!$G$16,'[1]3n 3n 2n 2n 2n'!$G$34,'[1]3n 3n 2n 2n 2n'!$G$36,'[1]3n 3n 2n 2n 2n'!$G$38,'[1]3n 3n 2n 2n 2n'!$G$40,'[1]3n 3n 2n 2n 2n'!$G$58,'[1]3n 3n 2n 2n 2n'!$G$60,'[1]3n 3n 2n 2n 2n'!$G$62,'[1]3n 3n 2n 2n 2n'!$G$64</definedName>
    <definedName name="vb1e2">'[1]3n 3n 2n 2n 2n'!$G$11,'[1]3n 3n 2n 2n 2n'!$G$13,'[1]3n 3n 2n 2n 2n'!$G$15,'[1]3n 3n 2n 2n 2n'!$G$17,'[1]3n 3n 2n 2n 2n'!$G$35,'[1]3n 3n 2n 2n 2n'!$G$37,'[1]3n 3n 2n 2n 2n'!$G$39,'[1]3n 3n 2n 2n 2n'!$G$41,'[1]3n 3n 2n 2n 2n'!$G$59,'[1]3n 3n 2n 2n 2n'!$G$61,'[1]3n 3n 2n 2n 2n'!$G$63,'[1]3n 3n 2n 2n 2n'!$G$65</definedName>
    <definedName name="vb2c1">'[1]3n 3n 2n 2n 2n'!$G$18:$G$21,'[1]3n 3n 2n 2n 2n'!$G$42:$G$45,'[1]3n 3n 2n 2n 2n'!$G$66:$G$69</definedName>
    <definedName name="vb2c2">'[1]3n 3n 2n 2n 2n'!$G$22:$G$25,'[1]3n 3n 2n 2n 2n'!$G$46:$G$49,'[1]3n 3n 2n 2n 2n'!$G$70:$G$73</definedName>
    <definedName name="vb2d1">'[1]3n 3n 2n 2n 2n'!$G$18:$G$19,'[1]3n 3n 2n 2n 2n'!$G$22:$G$23,'[1]3n 3n 2n 2n 2n'!$G$42:$G$43,'[1]3n 3n 2n 2n 2n'!$G$46:$G$47,'[1]3n 3n 2n 2n 2n'!$G$66:$G$67,'[1]3n 3n 2n 2n 2n'!$G$70:$G$71</definedName>
    <definedName name="vb2d2">'[1]3n 3n 2n 2n 2n'!$G$20:$G$21,'[1]3n 3n 2n 2n 2n'!$G$24:$G$25,'[1]3n 3n 2n 2n 2n'!$G$44:$G$45,'[1]3n 3n 2n 2n 2n'!$G$48:$G$49,'[1]3n 3n 2n 2n 2n'!$G$68:$G$69,'[1]3n 3n 2n 2n 2n'!$G$72:$G$73</definedName>
    <definedName name="vb2e1">'[1]3n 3n 2n 2n 2n'!$G$18,'[1]3n 3n 2n 2n 2n'!$G$20,'[1]3n 3n 2n 2n 2n'!$G$22,'[1]3n 3n 2n 2n 2n'!$G$24,'[1]3n 3n 2n 2n 2n'!$G$42,'[1]3n 3n 2n 2n 2n'!$G$44,'[1]3n 3n 2n 2n 2n'!$G$46,'[1]3n 3n 2n 2n 2n'!$G$48,'[1]3n 3n 2n 2n 2n'!$G$66,'[1]3n 3n 2n 2n 2n'!$G$68,'[1]3n 3n 2n 2n 2n'!$G$70,'[1]3n 3n 2n 2n 2n'!$G$72</definedName>
    <definedName name="vb2e2">'[1]3n 3n 2n 2n 2n'!$G$19,'[1]3n 3n 2n 2n 2n'!$G$21,'[1]3n 3n 2n 2n 2n'!$G$23,'[1]3n 3n 2n 2n 2n'!$G$25,'[1]3n 3n 2n 2n 2n'!$G$43,'[1]3n 3n 2n 2n 2n'!$G$45,'[1]3n 3n 2n 2n 2n'!$G$47,'[1]3n 3n 2n 2n 2n'!$G$49,'[1]3n 3n 2n 2n 2n'!$G$67,'[1]3n 3n 2n 2n 2n'!$G$69,'[1]3n 3n 2n 2n 2n'!$G$71,'[1]3n 3n 2n 2n 2n'!$G$73</definedName>
    <definedName name="vb3c1">'[1]3n 3n 2n 2n 2n'!$G$26:$G$29,'[1]3n 3n 2n 2n 2n'!$G$50:$G$53,'[1]3n 3n 2n 2n 2n'!$G$74:$G$77</definedName>
    <definedName name="vb3c2">'[1]3n 3n 2n 2n 2n'!$G$30:$G$33,'[1]3n 3n 2n 2n 2n'!$G$54:$G$57,'[1]3n 3n 2n 2n 2n'!$G$78:$G$81</definedName>
    <definedName name="vb3d1">'[1]3n 3n 2n 2n 2n'!$G$26:$G$27,'[1]3n 3n 2n 2n 2n'!$G$30:$G$31,'[1]3n 3n 2n 2n 2n'!$G$50:$G$51,'[1]3n 3n 2n 2n 2n'!$G$54:$G$55,'[1]3n 3n 2n 2n 2n'!$G$74:$G$75,'[1]3n 3n 2n 2n 2n'!$G$78:$G$79</definedName>
    <definedName name="vb3d2">'[1]3n 3n 2n 2n 2n'!$G$28:$G$29,'[1]3n 3n 2n 2n 2n'!$G$32:$G$33,'[1]3n 3n 2n 2n 2n'!$G$52:$G$53,'[1]3n 3n 2n 2n 2n'!$G$56:$G$57,'[1]3n 3n 2n 2n 2n'!$G$76:$G$77,'[1]3n 3n 2n 2n 2n'!$G$80:$G$81</definedName>
    <definedName name="vb3e1">'[1]3n 3n 2n 2n 2n'!$G$26,'[1]3n 3n 2n 2n 2n'!$G$28,'[1]3n 3n 2n 2n 2n'!$G$30,'[1]3n 3n 2n 2n 2n'!$G$32,'[1]3n 3n 2n 2n 2n'!$G$50,'[1]3n 3n 2n 2n 2n'!$G$52,'[1]3n 3n 2n 2n 2n'!$G$54,'[1]3n 3n 2n 2n 2n'!$G$56,'[1]3n 3n 2n 2n 2n'!$G$74,'[1]3n 3n 2n 2n 2n'!$G$76,'[1]3n 3n 2n 2n 2n'!$G$78,'[1]3n 3n 2n 2n 2n'!$G$80</definedName>
    <definedName name="vb3e2">'[1]3n 3n 2n 2n 2n'!$G$27,'[1]3n 3n 2n 2n 2n'!$G$29,'[1]3n 3n 2n 2n 2n'!$G$31,'[1]3n 3n 2n 2n 2n'!$G$33,'[1]3n 3n 2n 2n 2n'!$G$51,'[1]3n 3n 2n 2n 2n'!$G$53,'[1]3n 3n 2n 2n 2n'!$G$55,'[1]3n 3n 2n 2n 2n'!$G$57,'[1]3n 3n 2n 2n 2n'!$G$75,'[1]3n 3n 2n 2n 2n'!$G$77,'[1]3n 3n 2n 2n 2n'!$G$79,'[1]3n 3n 2n 2n 2n'!$G$81</definedName>
    <definedName name="vc1d1">'[1]3n 3n 2n 2n 2n'!$G$10:$G$11,'[1]3n 3n 2n 2n 2n'!$G$18:$G$19,'[1]3n 3n 2n 2n 2n'!$G$26:$G$27,'[1]3n 3n 2n 2n 2n'!$G$34:$G$35,'[1]3n 3n 2n 2n 2n'!$G$42:$G$43,'[1]3n 3n 2n 2n 2n'!$G$50:$G$51,'[1]3n 3n 2n 2n 2n'!$G$58:$G$59,'[1]3n 3n 2n 2n 2n'!$G$66:$G$67,'[1]3n 3n 2n 2n 2n'!$G$74:$G$75</definedName>
    <definedName name="vc1d2">'[1]3n 3n 2n 2n 2n'!$G$12:$G$13,'[1]3n 3n 2n 2n 2n'!$G$20:$G$21,'[1]3n 3n 2n 2n 2n'!$G$28:$G$29,'[1]3n 3n 2n 2n 2n'!$G$36:$G$37,'[1]3n 3n 2n 2n 2n'!$G$44:$G$45,'[1]3n 3n 2n 2n 2n'!$G$52:$G$53,'[1]3n 3n 2n 2n 2n'!$G$60:$G$61,'[1]3n 3n 2n 2n 2n'!$G$68:$G$69,'[1]3n 3n 2n 2n 2n'!$G$76:$G$77</definedName>
    <definedName name="vc1e1">'[1]3n 3n 2n 2n 2n'!$G$10,'[1]3n 3n 2n 2n 2n'!$G$12,'[1]3n 3n 2n 2n 2n'!$G$18,'[1]3n 3n 2n 2n 2n'!$G$20,'[1]3n 3n 2n 2n 2n'!$G$26,'[1]3n 3n 2n 2n 2n'!$G$28,'[1]3n 3n 2n 2n 2n'!$G$34,'[1]3n 3n 2n 2n 2n'!$G$36,'[1]3n 3n 2n 2n 2n'!$G$42,'[1]3n 3n 2n 2n 2n'!$G$44,'[1]3n 3n 2n 2n 2n'!$G$50,'[1]3n 3n 2n 2n 2n'!$G$52,'[1]3n 3n 2n 2n 2n'!$G$58,'[1]3n 3n 2n 2n 2n'!$G$60,'[1]3n 3n 2n 2n 2n'!$G$66,'[1]3n 3n 2n 2n 2n'!$G$68,'[1]3n 3n 2n 2n 2n'!$G$74,'[1]3n 3n 2n 2n 2n'!$G$76</definedName>
    <definedName name="vc1e2">'[1]3n 3n 2n 2n 2n'!$G$11,'[1]3n 3n 2n 2n 2n'!$G$13,'[1]3n 3n 2n 2n 2n'!$G$19,'[1]3n 3n 2n 2n 2n'!$G$21,'[1]3n 3n 2n 2n 2n'!$G$27,'[1]3n 3n 2n 2n 2n'!$G$29,'[1]3n 3n 2n 2n 2n'!$G$35,'[1]3n 3n 2n 2n 2n'!$G$37,'[1]3n 3n 2n 2n 2n'!$G$43,'[1]3n 3n 2n 2n 2n'!$G$45,'[1]3n 3n 2n 2n 2n'!$G$51,'[1]3n 3n 2n 2n 2n'!$G$53,'[1]3n 3n 2n 2n 2n'!$G$59,'[1]3n 3n 2n 2n 2n'!$G$61,'[1]3n 3n 2n 2n 2n'!$G$67,'[1]3n 3n 2n 2n 2n'!$G$69,'[1]3n 3n 2n 2n 2n'!$G$75,'[1]3n 3n 2n 2n 2n'!$G$77</definedName>
    <definedName name="vc2d1">'[1]3n 3n 2n 2n 2n'!$G$14:$G$15,'[1]3n 3n 2n 2n 2n'!$G$22:$G$23,'[1]3n 3n 2n 2n 2n'!$G$30:$G$31,'[1]3n 3n 2n 2n 2n'!$G$38:$G$39,'[1]3n 3n 2n 2n 2n'!$G$46:$G$47,'[1]3n 3n 2n 2n 2n'!$G$54:$G$55,'[1]3n 3n 2n 2n 2n'!$G$62:$G$63,'[1]3n 3n 2n 2n 2n'!$G$70:$G$71,'[1]3n 3n 2n 2n 2n'!$G$78:$G$79</definedName>
    <definedName name="vc2d2">'[1]3n 3n 2n 2n 2n'!$G$16:$G$17,'[1]3n 3n 2n 2n 2n'!$G$24:$G$25,'[1]3n 3n 2n 2n 2n'!$G$32:$G$33,'[1]3n 3n 2n 2n 2n'!$G$40:$G$41,'[1]3n 3n 2n 2n 2n'!$G$48:$G$49,'[1]3n 3n 2n 2n 2n'!$G$56:$G$57,'[1]3n 3n 2n 2n 2n'!$G$64:$G$65,'[1]3n 3n 2n 2n 2n'!$G$72:$G$73,'[1]3n 3n 2n 2n 2n'!$G$80:$G$81</definedName>
    <definedName name="vc2e1">'[1]3n 3n 2n 2n 2n'!$G$14,'[1]3n 3n 2n 2n 2n'!$G$16,'[1]3n 3n 2n 2n 2n'!$G$22,'[1]3n 3n 2n 2n 2n'!$G$24,'[1]3n 3n 2n 2n 2n'!$G$30,'[1]3n 3n 2n 2n 2n'!$G$32,'[1]3n 3n 2n 2n 2n'!$G$38,'[1]3n 3n 2n 2n 2n'!$G$40,'[1]3n 3n 2n 2n 2n'!$G$46,'[1]3n 3n 2n 2n 2n'!$G$48,'[1]3n 3n 2n 2n 2n'!$G$54,'[1]3n 3n 2n 2n 2n'!$G$56,'[1]3n 3n 2n 2n 2n'!$G$62,'[1]3n 3n 2n 2n 2n'!$G$64,'[1]3n 3n 2n 2n 2n'!$G$70,'[1]3n 3n 2n 2n 2n'!$G$72,'[1]3n 3n 2n 2n 2n'!$G$78,'[1]3n 3n 2n 2n 2n'!$G$80</definedName>
    <definedName name="vc2e2">'[1]3n 3n 2n 2n 2n'!$G$15,'[1]3n 3n 2n 2n 2n'!$G$17,'[1]3n 3n 2n 2n 2n'!$G$23,'[1]3n 3n 2n 2n 2n'!$G$25,'[1]3n 3n 2n 2n 2n'!$G$31,'[1]3n 3n 2n 2n 2n'!$G$33,'[1]3n 3n 2n 2n 2n'!$G$39,'[1]3n 3n 2n 2n 2n'!$G$41,'[1]3n 3n 2n 2n 2n'!$G$47,'[1]3n 3n 2n 2n 2n'!$G$49,'[1]3n 3n 2n 2n 2n'!$G$55,'[1]3n 3n 2n 2n 2n'!$G$57,'[1]3n 3n 2n 2n 2n'!$G$63,'[1]3n 3n 2n 2n 2n'!$G$65,'[1]3n 3n 2n 2n 2n'!$G$71,'[1]3n 3n 2n 2n 2n'!$G$73,'[1]3n 3n 2n 2n 2n'!$G$79,'[1]3n 3n 2n 2n 2n'!$G$81</definedName>
    <definedName name="vd1e1">'[1]3n 3n 2n 2n 2n'!$G$10,'[1]3n 3n 2n 2n 2n'!$G$14,'[1]3n 3n 2n 2n 2n'!$G$18,'[1]3n 3n 2n 2n 2n'!$G$22,'[1]3n 3n 2n 2n 2n'!$G$26,'[1]3n 3n 2n 2n 2n'!$G$30,'[1]3n 3n 2n 2n 2n'!$G$34,'[1]3n 3n 2n 2n 2n'!$G$38,'[1]3n 3n 2n 2n 2n'!$G$42,'[1]3n 3n 2n 2n 2n'!$G$46,'[1]3n 3n 2n 2n 2n'!$G$50,'[1]3n 3n 2n 2n 2n'!$G$54,'[1]3n 3n 2n 2n 2n'!$G$58,'[1]3n 3n 2n 2n 2n'!$G$62,'[1]3n 3n 2n 2n 2n'!$G$66,'[1]3n 3n 2n 2n 2n'!$G$70,'[1]3n 3n 2n 2n 2n'!$G$74,'[1]3n 3n 2n 2n 2n'!$G$78</definedName>
    <definedName name="vd1e2">'[1]3n 3n 2n 2n 2n'!$G$11,'[1]3n 3n 2n 2n 2n'!$G$15,'[1]3n 3n 2n 2n 2n'!$G$19,'[1]3n 3n 2n 2n 2n'!$G$23,'[1]3n 3n 2n 2n 2n'!$G$27,'[1]3n 3n 2n 2n 2n'!$G$31,'[1]3n 3n 2n 2n 2n'!$G$35,'[1]3n 3n 2n 2n 2n'!$G$39,'[1]3n 3n 2n 2n 2n'!$G$43,'[1]3n 3n 2n 2n 2n'!$G$47,'[1]3n 3n 2n 2n 2n'!$G$51,'[1]3n 3n 2n 2n 2n'!$G$55,'[1]3n 3n 2n 2n 2n'!$G$59,'[1]3n 3n 2n 2n 2n'!$G$63,'[1]3n 3n 2n 2n 2n'!$G$67,'[1]3n 3n 2n 2n 2n'!$G$71,'[1]3n 3n 2n 2n 2n'!$G$75,'[1]3n 3n 2n 2n 2n'!$G$79</definedName>
    <definedName name="vd2e1">'[1]3n 3n 2n 2n 2n'!$G$12,'[1]3n 3n 2n 2n 2n'!$G$16,'[1]3n 3n 2n 2n 2n'!$G$20,'[1]3n 3n 2n 2n 2n'!$G$24,'[1]3n 3n 2n 2n 2n'!$G$28,'[1]3n 3n 2n 2n 2n'!$G$32,'[1]3n 3n 2n 2n 2n'!$G$36,'[1]3n 3n 2n 2n 2n'!$G$40,'[1]3n 3n 2n 2n 2n'!$G$44,'[1]3n 3n 2n 2n 2n'!$G$48,'[1]3n 3n 2n 2n 2n'!$G$52,'[1]3n 3n 2n 2n 2n'!$G$56,'[1]3n 3n 2n 2n 2n'!$G$60,'[1]3n 3n 2n 2n 2n'!$G$64,'[1]3n 3n 2n 2n 2n'!$G$68,'[1]3n 3n 2n 2n 2n'!$G$72,'[1]3n 3n 2n 2n 2n'!$G$76,'[1]3n 3n 2n 2n 2n'!$G$80</definedName>
    <definedName name="vd2e2">'[1]3n 3n 2n 2n 2n'!$G$13,'[1]3n 3n 2n 2n 2n'!$G$17,'[1]3n 3n 2n 2n 2n'!$G$21,'[1]3n 3n 2n 2n 2n'!$G$25,'[1]3n 3n 2n 2n 2n'!$G$29,'[1]3n 3n 2n 2n 2n'!$G$33,'[1]3n 3n 2n 2n 2n'!$G$37,'[1]3n 3n 2n 2n 2n'!$G$41,'[1]3n 3n 2n 2n 2n'!$G$45,'[1]3n 3n 2n 2n 2n'!$G$49,'[1]3n 3n 2n 2n 2n'!$G$53,'[1]3n 3n 2n 2n 2n'!$G$57,'[1]3n 3n 2n 2n 2n'!$G$61,'[1]3n 3n 2n 2n 2n'!$G$65,'[1]3n 3n 2n 2n 2n'!$G$69,'[1]3n 3n 2n 2n 2n'!$G$73,'[1]3n 3n 2n 2n 2n'!$G$77,'[1]3n 3n 2n 2n 2n'!$G$81</definedName>
    <definedName name="xdata1" hidden="1">-500+(ROW(OFFSET(#REF!,0,0,70,1))-1)*36.231884057971</definedName>
    <definedName name="xdata2" hidden="1">-500+(ROW(OFFSET(#REF!,0,0,70,1))-1)*36.231884057971</definedName>
    <definedName name="xxl">'432'!$E$14:$E$14,'432'!$E$16:$E$16,'432'!$E$18:$E$18,'432'!$E$20:$E$20,'432'!$E$22:$E$22,'432'!$E$24:$E$24,'432'!$E$26:$E$26,'432'!$E$28:$E$28,'432'!$E$30:$E$30,'432'!$E$32:$E$32,'432'!$E$34:$E$34,'432'!$E$36:$E$36</definedName>
    <definedName name="xxxl">'432'!$E$15:$E$15,'432'!$E$17:$E$17,'432'!$E$19:$E$19,'432'!$E$21:$E$21,'432'!$E$23:$E$23,'432'!$E$25:$E$25,'432'!$E$27:$E$27,'432'!$E$29:$E$29,'432'!$E$31:$E$31,'432'!$E$33:$E$33,'432'!$E$35:$E$35,'432'!$E$37:$E$37</definedName>
    <definedName name="ydata1" hidden="1">0+1*[0]!xdata1-6.67328996918043*(1.03125+([0]!xdata1-494.21875)^2/2426846.875)^0.5</definedName>
    <definedName name="ydata2" hidden="1">0+1*[0]!xdata2+6.67328996918043*(1.03125+([0]!xdata2-494.21875)^2/2426846.875)^0.5</definedName>
  </definedNames>
  <calcPr calcId="125725"/>
</workbook>
</file>

<file path=xl/calcChain.xml><?xml version="1.0" encoding="utf-8"?>
<calcChain xmlns="http://schemas.openxmlformats.org/spreadsheetml/2006/main">
  <c r="F145" i="4"/>
  <c r="G145" s="1"/>
  <c r="F146"/>
  <c r="G146" s="1"/>
  <c r="F147"/>
  <c r="G147" s="1"/>
  <c r="F148"/>
  <c r="G148" s="1"/>
  <c r="F149"/>
  <c r="G149" s="1"/>
  <c r="F150"/>
  <c r="G150" s="1"/>
  <c r="F151"/>
  <c r="G151" s="1"/>
  <c r="F152"/>
  <c r="G152" s="1"/>
  <c r="F153"/>
  <c r="G153" s="1"/>
  <c r="F154"/>
  <c r="G154" s="1"/>
  <c r="F155"/>
  <c r="G155" s="1"/>
  <c r="F156"/>
  <c r="G156" s="1"/>
  <c r="F157"/>
  <c r="G157" s="1"/>
  <c r="F158"/>
  <c r="G158" s="1"/>
  <c r="F159"/>
  <c r="G159" s="1"/>
  <c r="F160"/>
  <c r="G160" s="1"/>
  <c r="F161"/>
  <c r="G161" s="1"/>
  <c r="F162"/>
  <c r="G162" s="1"/>
  <c r="F163"/>
  <c r="G163" s="1"/>
  <c r="F164"/>
  <c r="G164" s="1"/>
  <c r="F165"/>
  <c r="G165" s="1"/>
  <c r="F166"/>
  <c r="G166" s="1"/>
  <c r="F167"/>
  <c r="G167" s="1"/>
  <c r="F144"/>
  <c r="G144" s="1"/>
  <c r="F121"/>
  <c r="G121" s="1"/>
  <c r="F122"/>
  <c r="G122" s="1"/>
  <c r="F123"/>
  <c r="G123" s="1"/>
  <c r="F124"/>
  <c r="G124" s="1"/>
  <c r="F125"/>
  <c r="G125" s="1"/>
  <c r="F126"/>
  <c r="G126" s="1"/>
  <c r="F127"/>
  <c r="G127" s="1"/>
  <c r="F128"/>
  <c r="G128" s="1"/>
  <c r="F129"/>
  <c r="G129" s="1"/>
  <c r="F130"/>
  <c r="G130" s="1"/>
  <c r="F131"/>
  <c r="G131" s="1"/>
  <c r="F132"/>
  <c r="G132" s="1"/>
  <c r="F133"/>
  <c r="G133" s="1"/>
  <c r="F134"/>
  <c r="G134" s="1"/>
  <c r="F135"/>
  <c r="G135" s="1"/>
  <c r="F136"/>
  <c r="G136" s="1"/>
  <c r="F137"/>
  <c r="G137" s="1"/>
  <c r="F138"/>
  <c r="G138" s="1"/>
  <c r="F139"/>
  <c r="G139" s="1"/>
  <c r="F140"/>
  <c r="G140" s="1"/>
  <c r="F141"/>
  <c r="G141" s="1"/>
  <c r="F142"/>
  <c r="G142" s="1"/>
  <c r="F143"/>
  <c r="G143" s="1"/>
  <c r="F120"/>
  <c r="G120" s="1"/>
  <c r="F97"/>
  <c r="G97" s="1"/>
  <c r="F98"/>
  <c r="G98" s="1"/>
  <c r="F99"/>
  <c r="G99" s="1"/>
  <c r="F100"/>
  <c r="G100" s="1"/>
  <c r="F101"/>
  <c r="G101" s="1"/>
  <c r="F102"/>
  <c r="G102" s="1"/>
  <c r="F103"/>
  <c r="G103" s="1"/>
  <c r="F104"/>
  <c r="G104" s="1"/>
  <c r="F105"/>
  <c r="G105" s="1"/>
  <c r="F106"/>
  <c r="G106" s="1"/>
  <c r="F107"/>
  <c r="G107" s="1"/>
  <c r="F108"/>
  <c r="G108" s="1"/>
  <c r="F109"/>
  <c r="G109" s="1"/>
  <c r="F110"/>
  <c r="G110" s="1"/>
  <c r="F111"/>
  <c r="G111" s="1"/>
  <c r="F112"/>
  <c r="G112" s="1"/>
  <c r="F113"/>
  <c r="G113" s="1"/>
  <c r="F114"/>
  <c r="G114" s="1"/>
  <c r="F115"/>
  <c r="G115" s="1"/>
  <c r="F116"/>
  <c r="G116" s="1"/>
  <c r="F117"/>
  <c r="G117" s="1"/>
  <c r="F118"/>
  <c r="G118" s="1"/>
  <c r="F119"/>
  <c r="G119" s="1"/>
  <c r="F96"/>
  <c r="G96" s="1"/>
  <c r="F73"/>
  <c r="G73" s="1"/>
  <c r="F74"/>
  <c r="G74" s="1"/>
  <c r="F75"/>
  <c r="G75" s="1"/>
  <c r="F76"/>
  <c r="G76" s="1"/>
  <c r="F77"/>
  <c r="G77" s="1"/>
  <c r="F78"/>
  <c r="G78" s="1"/>
  <c r="F79"/>
  <c r="G79" s="1"/>
  <c r="F80"/>
  <c r="G80" s="1"/>
  <c r="F81"/>
  <c r="G81" s="1"/>
  <c r="F82"/>
  <c r="G82" s="1"/>
  <c r="F83"/>
  <c r="G83" s="1"/>
  <c r="F84"/>
  <c r="G84" s="1"/>
  <c r="F85"/>
  <c r="G85" s="1"/>
  <c r="F86"/>
  <c r="G86" s="1"/>
  <c r="F87"/>
  <c r="G87" s="1"/>
  <c r="F88"/>
  <c r="G88" s="1"/>
  <c r="F89"/>
  <c r="G89" s="1"/>
  <c r="F90"/>
  <c r="G90" s="1"/>
  <c r="F91"/>
  <c r="G91" s="1"/>
  <c r="F92"/>
  <c r="G92" s="1"/>
  <c r="F93"/>
  <c r="G93" s="1"/>
  <c r="F94"/>
  <c r="G94" s="1"/>
  <c r="F95"/>
  <c r="G95" s="1"/>
  <c r="F72"/>
  <c r="G72" s="1"/>
  <c r="F49"/>
  <c r="G49" s="1"/>
  <c r="F50"/>
  <c r="G50" s="1"/>
  <c r="F51"/>
  <c r="G51" s="1"/>
  <c r="F52"/>
  <c r="G52" s="1"/>
  <c r="F53"/>
  <c r="G53" s="1"/>
  <c r="F54"/>
  <c r="G54" s="1"/>
  <c r="F55"/>
  <c r="G55" s="1"/>
  <c r="F56"/>
  <c r="G56" s="1"/>
  <c r="F57"/>
  <c r="G57" s="1"/>
  <c r="F58"/>
  <c r="G58" s="1"/>
  <c r="F59"/>
  <c r="G59" s="1"/>
  <c r="F60"/>
  <c r="G60" s="1"/>
  <c r="F61"/>
  <c r="G61" s="1"/>
  <c r="F62"/>
  <c r="G62" s="1"/>
  <c r="F63"/>
  <c r="G63" s="1"/>
  <c r="F64"/>
  <c r="G64" s="1"/>
  <c r="F65"/>
  <c r="G65" s="1"/>
  <c r="F66"/>
  <c r="G66" s="1"/>
  <c r="F67"/>
  <c r="G67" s="1"/>
  <c r="F68"/>
  <c r="G68" s="1"/>
  <c r="F69"/>
  <c r="G69" s="1"/>
  <c r="F70"/>
  <c r="G70" s="1"/>
  <c r="F71"/>
  <c r="G71" s="1"/>
  <c r="F48"/>
  <c r="G48" s="1"/>
  <c r="F185" i="3"/>
  <c r="G185" s="1"/>
  <c r="F186"/>
  <c r="G186" s="1"/>
  <c r="F187"/>
  <c r="G187" s="1"/>
  <c r="F188"/>
  <c r="G188" s="1"/>
  <c r="F189"/>
  <c r="G189" s="1"/>
  <c r="F190"/>
  <c r="G190" s="1"/>
  <c r="F191"/>
  <c r="G191" s="1"/>
  <c r="F192"/>
  <c r="G192" s="1"/>
  <c r="F193"/>
  <c r="G193" s="1"/>
  <c r="F194"/>
  <c r="G194" s="1"/>
  <c r="F195"/>
  <c r="G195" s="1"/>
  <c r="F196"/>
  <c r="G196" s="1"/>
  <c r="F197"/>
  <c r="G197" s="1"/>
  <c r="F198"/>
  <c r="G198" s="1"/>
  <c r="F199"/>
  <c r="G199" s="1"/>
  <c r="F200"/>
  <c r="G200" s="1"/>
  <c r="F201"/>
  <c r="G201" s="1"/>
  <c r="F202"/>
  <c r="G202" s="1"/>
  <c r="F203"/>
  <c r="G203" s="1"/>
  <c r="F204"/>
  <c r="G204" s="1"/>
  <c r="F205"/>
  <c r="G205" s="1"/>
  <c r="F206"/>
  <c r="G206" s="1"/>
  <c r="F207"/>
  <c r="G207" s="1"/>
  <c r="F208"/>
  <c r="G208" s="1"/>
  <c r="F209"/>
  <c r="G209" s="1"/>
  <c r="F210"/>
  <c r="G210" s="1"/>
  <c r="F211"/>
  <c r="G211" s="1"/>
  <c r="F212"/>
  <c r="G212" s="1"/>
  <c r="F213"/>
  <c r="G213" s="1"/>
  <c r="F214"/>
  <c r="G214" s="1"/>
  <c r="F215"/>
  <c r="G215" s="1"/>
  <c r="F184"/>
  <c r="G184" s="1"/>
  <c r="F153"/>
  <c r="G153" s="1"/>
  <c r="F154"/>
  <c r="G154" s="1"/>
  <c r="F155"/>
  <c r="G155" s="1"/>
  <c r="F156"/>
  <c r="G156" s="1"/>
  <c r="F157"/>
  <c r="G157" s="1"/>
  <c r="F158"/>
  <c r="G158" s="1"/>
  <c r="F159"/>
  <c r="G159" s="1"/>
  <c r="F160"/>
  <c r="G160" s="1"/>
  <c r="F161"/>
  <c r="G161" s="1"/>
  <c r="F162"/>
  <c r="G162" s="1"/>
  <c r="F163"/>
  <c r="G163" s="1"/>
  <c r="F164"/>
  <c r="G164" s="1"/>
  <c r="F165"/>
  <c r="G165" s="1"/>
  <c r="F166"/>
  <c r="G166" s="1"/>
  <c r="F167"/>
  <c r="G167" s="1"/>
  <c r="F168"/>
  <c r="G168" s="1"/>
  <c r="F169"/>
  <c r="G169" s="1"/>
  <c r="F170"/>
  <c r="G170" s="1"/>
  <c r="F171"/>
  <c r="G171" s="1"/>
  <c r="F172"/>
  <c r="G172" s="1"/>
  <c r="F173"/>
  <c r="G173" s="1"/>
  <c r="F174"/>
  <c r="G174" s="1"/>
  <c r="F175"/>
  <c r="G175" s="1"/>
  <c r="F176"/>
  <c r="G176" s="1"/>
  <c r="F177"/>
  <c r="G177" s="1"/>
  <c r="F178"/>
  <c r="G178" s="1"/>
  <c r="F179"/>
  <c r="G179" s="1"/>
  <c r="F180"/>
  <c r="G180" s="1"/>
  <c r="F181"/>
  <c r="G181" s="1"/>
  <c r="F182"/>
  <c r="G182" s="1"/>
  <c r="F183"/>
  <c r="G183" s="1"/>
  <c r="F152"/>
  <c r="G152" s="1"/>
  <c r="F121"/>
  <c r="G121" s="1"/>
  <c r="F122"/>
  <c r="G122" s="1"/>
  <c r="F123"/>
  <c r="G123" s="1"/>
  <c r="F124"/>
  <c r="G124" s="1"/>
  <c r="F125"/>
  <c r="G125" s="1"/>
  <c r="F126"/>
  <c r="G126" s="1"/>
  <c r="F127"/>
  <c r="G127" s="1"/>
  <c r="F128"/>
  <c r="G128" s="1"/>
  <c r="F129"/>
  <c r="G129" s="1"/>
  <c r="F130"/>
  <c r="G130" s="1"/>
  <c r="F131"/>
  <c r="G131" s="1"/>
  <c r="F132"/>
  <c r="G132" s="1"/>
  <c r="F133"/>
  <c r="G133" s="1"/>
  <c r="F134"/>
  <c r="G134" s="1"/>
  <c r="F135"/>
  <c r="G135" s="1"/>
  <c r="F136"/>
  <c r="G136" s="1"/>
  <c r="F137"/>
  <c r="G137" s="1"/>
  <c r="F138"/>
  <c r="G138" s="1"/>
  <c r="F139"/>
  <c r="G139" s="1"/>
  <c r="F140"/>
  <c r="G140" s="1"/>
  <c r="F141"/>
  <c r="G141" s="1"/>
  <c r="F142"/>
  <c r="G142" s="1"/>
  <c r="F143"/>
  <c r="G143" s="1"/>
  <c r="F144"/>
  <c r="G144" s="1"/>
  <c r="F145"/>
  <c r="G145" s="1"/>
  <c r="F146"/>
  <c r="G146" s="1"/>
  <c r="F147"/>
  <c r="G147" s="1"/>
  <c r="F148"/>
  <c r="G148" s="1"/>
  <c r="F149"/>
  <c r="G149" s="1"/>
  <c r="F150"/>
  <c r="G150" s="1"/>
  <c r="F151"/>
  <c r="G151" s="1"/>
  <c r="F120"/>
  <c r="G120" s="1"/>
  <c r="F89"/>
  <c r="G89" s="1"/>
  <c r="F90"/>
  <c r="G90" s="1"/>
  <c r="F91"/>
  <c r="G91" s="1"/>
  <c r="F92"/>
  <c r="G92" s="1"/>
  <c r="F93"/>
  <c r="G93" s="1"/>
  <c r="F94"/>
  <c r="G94" s="1"/>
  <c r="F95"/>
  <c r="G95" s="1"/>
  <c r="F96"/>
  <c r="G96" s="1"/>
  <c r="F97"/>
  <c r="G97" s="1"/>
  <c r="F98"/>
  <c r="G98" s="1"/>
  <c r="F99"/>
  <c r="G99" s="1"/>
  <c r="F100"/>
  <c r="G100" s="1"/>
  <c r="F101"/>
  <c r="G101" s="1"/>
  <c r="F102"/>
  <c r="G102" s="1"/>
  <c r="F103"/>
  <c r="G103" s="1"/>
  <c r="F104"/>
  <c r="G104" s="1"/>
  <c r="F105"/>
  <c r="G105" s="1"/>
  <c r="F106"/>
  <c r="G106" s="1"/>
  <c r="F107"/>
  <c r="G107" s="1"/>
  <c r="F108"/>
  <c r="G108" s="1"/>
  <c r="F109"/>
  <c r="G109" s="1"/>
  <c r="F110"/>
  <c r="G110" s="1"/>
  <c r="F111"/>
  <c r="G111" s="1"/>
  <c r="F112"/>
  <c r="G112" s="1"/>
  <c r="F113"/>
  <c r="G113" s="1"/>
  <c r="F114"/>
  <c r="G114" s="1"/>
  <c r="F115"/>
  <c r="G115" s="1"/>
  <c r="F116"/>
  <c r="G116" s="1"/>
  <c r="F117"/>
  <c r="G117" s="1"/>
  <c r="F118"/>
  <c r="G118" s="1"/>
  <c r="F119"/>
  <c r="G119" s="1"/>
  <c r="F88"/>
  <c r="G88" s="1"/>
  <c r="F57"/>
  <c r="G57" s="1"/>
  <c r="F58"/>
  <c r="G58" s="1"/>
  <c r="F59"/>
  <c r="G59" s="1"/>
  <c r="F60"/>
  <c r="G60" s="1"/>
  <c r="F61"/>
  <c r="G61" s="1"/>
  <c r="F62"/>
  <c r="G62" s="1"/>
  <c r="F63"/>
  <c r="G63" s="1"/>
  <c r="F64"/>
  <c r="G64" s="1"/>
  <c r="F65"/>
  <c r="G65" s="1"/>
  <c r="F66"/>
  <c r="G66" s="1"/>
  <c r="F67"/>
  <c r="G67" s="1"/>
  <c r="F68"/>
  <c r="G68" s="1"/>
  <c r="F69"/>
  <c r="G69" s="1"/>
  <c r="F70"/>
  <c r="G70" s="1"/>
  <c r="F71"/>
  <c r="G71" s="1"/>
  <c r="F72"/>
  <c r="G72" s="1"/>
  <c r="F73"/>
  <c r="G73" s="1"/>
  <c r="F74"/>
  <c r="G74" s="1"/>
  <c r="F75"/>
  <c r="G75" s="1"/>
  <c r="F76"/>
  <c r="G76" s="1"/>
  <c r="F77"/>
  <c r="G77" s="1"/>
  <c r="F78"/>
  <c r="G78" s="1"/>
  <c r="F79"/>
  <c r="G79" s="1"/>
  <c r="F80"/>
  <c r="G80" s="1"/>
  <c r="F81"/>
  <c r="G81" s="1"/>
  <c r="F82"/>
  <c r="G82" s="1"/>
  <c r="F83"/>
  <c r="G83" s="1"/>
  <c r="F84"/>
  <c r="G84" s="1"/>
  <c r="F85"/>
  <c r="G85" s="1"/>
  <c r="F86"/>
  <c r="G86" s="1"/>
  <c r="F87"/>
  <c r="G87" s="1"/>
  <c r="F56"/>
  <c r="G56" s="1"/>
  <c r="G266" i="2"/>
  <c r="H266" s="1"/>
  <c r="G267"/>
  <c r="H267" s="1"/>
  <c r="G268"/>
  <c r="H268" s="1"/>
  <c r="G269"/>
  <c r="H269" s="1"/>
  <c r="G270"/>
  <c r="H270" s="1"/>
  <c r="G271"/>
  <c r="H271" s="1"/>
  <c r="G272"/>
  <c r="H272" s="1"/>
  <c r="G273"/>
  <c r="H273" s="1"/>
  <c r="G274"/>
  <c r="H274" s="1"/>
  <c r="G275"/>
  <c r="H275" s="1"/>
  <c r="G276"/>
  <c r="H276" s="1"/>
  <c r="G277"/>
  <c r="H277" s="1"/>
  <c r="G278"/>
  <c r="H278" s="1"/>
  <c r="G279"/>
  <c r="H279" s="1"/>
  <c r="G280"/>
  <c r="H280" s="1"/>
  <c r="G281"/>
  <c r="H281" s="1"/>
  <c r="G282"/>
  <c r="H282" s="1"/>
  <c r="G283"/>
  <c r="H283" s="1"/>
  <c r="G284"/>
  <c r="H284" s="1"/>
  <c r="G285"/>
  <c r="H285" s="1"/>
  <c r="G286"/>
  <c r="H286" s="1"/>
  <c r="G287"/>
  <c r="H287" s="1"/>
  <c r="G288"/>
  <c r="H288" s="1"/>
  <c r="G289"/>
  <c r="H289" s="1"/>
  <c r="G290"/>
  <c r="H290" s="1"/>
  <c r="G291"/>
  <c r="H291" s="1"/>
  <c r="G292"/>
  <c r="H292" s="1"/>
  <c r="G293"/>
  <c r="H293" s="1"/>
  <c r="G294"/>
  <c r="H294" s="1"/>
  <c r="G295"/>
  <c r="H295" s="1"/>
  <c r="G296"/>
  <c r="H296" s="1"/>
  <c r="G297"/>
  <c r="H297" s="1"/>
  <c r="G298"/>
  <c r="H298" s="1"/>
  <c r="G299"/>
  <c r="H299" s="1"/>
  <c r="G300"/>
  <c r="H300" s="1"/>
  <c r="G301"/>
  <c r="H301" s="1"/>
  <c r="G302"/>
  <c r="H302" s="1"/>
  <c r="G303"/>
  <c r="H303" s="1"/>
  <c r="G304"/>
  <c r="H304" s="1"/>
  <c r="G305"/>
  <c r="H305" s="1"/>
  <c r="G306"/>
  <c r="H306" s="1"/>
  <c r="G307"/>
  <c r="H307" s="1"/>
  <c r="G308"/>
  <c r="H308" s="1"/>
  <c r="G309"/>
  <c r="H309" s="1"/>
  <c r="G310"/>
  <c r="H310" s="1"/>
  <c r="G311"/>
  <c r="H311" s="1"/>
  <c r="G312"/>
  <c r="H312" s="1"/>
  <c r="G265"/>
  <c r="H265" s="1"/>
  <c r="G218"/>
  <c r="H218" s="1"/>
  <c r="G219"/>
  <c r="H219" s="1"/>
  <c r="G220"/>
  <c r="H220" s="1"/>
  <c r="G221"/>
  <c r="H221" s="1"/>
  <c r="G222"/>
  <c r="H222" s="1"/>
  <c r="G223"/>
  <c r="H223" s="1"/>
  <c r="G224"/>
  <c r="H224" s="1"/>
  <c r="G225"/>
  <c r="H225" s="1"/>
  <c r="G226"/>
  <c r="H226" s="1"/>
  <c r="G227"/>
  <c r="H227" s="1"/>
  <c r="G228"/>
  <c r="H228" s="1"/>
  <c r="G229"/>
  <c r="H229" s="1"/>
  <c r="G230"/>
  <c r="H230" s="1"/>
  <c r="G231"/>
  <c r="H231" s="1"/>
  <c r="G232"/>
  <c r="H232" s="1"/>
  <c r="G233"/>
  <c r="H233" s="1"/>
  <c r="G234"/>
  <c r="H234" s="1"/>
  <c r="G235"/>
  <c r="H235" s="1"/>
  <c r="G236"/>
  <c r="H236" s="1"/>
  <c r="G237"/>
  <c r="H237" s="1"/>
  <c r="G238"/>
  <c r="H238" s="1"/>
  <c r="G239"/>
  <c r="H239" s="1"/>
  <c r="G240"/>
  <c r="H240" s="1"/>
  <c r="G241"/>
  <c r="H241" s="1"/>
  <c r="G242"/>
  <c r="H242" s="1"/>
  <c r="G243"/>
  <c r="H243" s="1"/>
  <c r="G244"/>
  <c r="H244" s="1"/>
  <c r="G245"/>
  <c r="H245" s="1"/>
  <c r="G246"/>
  <c r="H246" s="1"/>
  <c r="G247"/>
  <c r="H247" s="1"/>
  <c r="G248"/>
  <c r="H248" s="1"/>
  <c r="G249"/>
  <c r="H249" s="1"/>
  <c r="G250"/>
  <c r="H250" s="1"/>
  <c r="G251"/>
  <c r="H251" s="1"/>
  <c r="G252"/>
  <c r="H252" s="1"/>
  <c r="G253"/>
  <c r="H253" s="1"/>
  <c r="G254"/>
  <c r="H254" s="1"/>
  <c r="G255"/>
  <c r="H255" s="1"/>
  <c r="G256"/>
  <c r="H256" s="1"/>
  <c r="G257"/>
  <c r="H257" s="1"/>
  <c r="G258"/>
  <c r="H258" s="1"/>
  <c r="G259"/>
  <c r="H259" s="1"/>
  <c r="G260"/>
  <c r="H260" s="1"/>
  <c r="G261"/>
  <c r="H261" s="1"/>
  <c r="G262"/>
  <c r="H262" s="1"/>
  <c r="G263"/>
  <c r="H263" s="1"/>
  <c r="G264"/>
  <c r="H264" s="1"/>
  <c r="G217"/>
  <c r="H217" s="1"/>
  <c r="G170"/>
  <c r="H170" s="1"/>
  <c r="G171"/>
  <c r="H171" s="1"/>
  <c r="G172"/>
  <c r="H172" s="1"/>
  <c r="G173"/>
  <c r="H173" s="1"/>
  <c r="G174"/>
  <c r="H174" s="1"/>
  <c r="G175"/>
  <c r="H175" s="1"/>
  <c r="G176"/>
  <c r="H176" s="1"/>
  <c r="G177"/>
  <c r="H177" s="1"/>
  <c r="G178"/>
  <c r="H178" s="1"/>
  <c r="G179"/>
  <c r="H179" s="1"/>
  <c r="G180"/>
  <c r="H180" s="1"/>
  <c r="G181"/>
  <c r="H181" s="1"/>
  <c r="G182"/>
  <c r="H182" s="1"/>
  <c r="G183"/>
  <c r="H183" s="1"/>
  <c r="G184"/>
  <c r="H184" s="1"/>
  <c r="G185"/>
  <c r="H185" s="1"/>
  <c r="G186"/>
  <c r="H186" s="1"/>
  <c r="G187"/>
  <c r="H187" s="1"/>
  <c r="G188"/>
  <c r="H188" s="1"/>
  <c r="G189"/>
  <c r="H189" s="1"/>
  <c r="G190"/>
  <c r="H190" s="1"/>
  <c r="G191"/>
  <c r="H191" s="1"/>
  <c r="G192"/>
  <c r="H192" s="1"/>
  <c r="G193"/>
  <c r="H193" s="1"/>
  <c r="G194"/>
  <c r="H194" s="1"/>
  <c r="G195"/>
  <c r="H195" s="1"/>
  <c r="G196"/>
  <c r="H196" s="1"/>
  <c r="G197"/>
  <c r="H197" s="1"/>
  <c r="G198"/>
  <c r="H198" s="1"/>
  <c r="G199"/>
  <c r="H199" s="1"/>
  <c r="G200"/>
  <c r="H200" s="1"/>
  <c r="G201"/>
  <c r="H201" s="1"/>
  <c r="G202"/>
  <c r="H202" s="1"/>
  <c r="G203"/>
  <c r="H203" s="1"/>
  <c r="G204"/>
  <c r="H204" s="1"/>
  <c r="G205"/>
  <c r="H205" s="1"/>
  <c r="G206"/>
  <c r="H206" s="1"/>
  <c r="G207"/>
  <c r="H207" s="1"/>
  <c r="G208"/>
  <c r="H208" s="1"/>
  <c r="G209"/>
  <c r="H209" s="1"/>
  <c r="G210"/>
  <c r="H210" s="1"/>
  <c r="G211"/>
  <c r="H211" s="1"/>
  <c r="G212"/>
  <c r="H212" s="1"/>
  <c r="G213"/>
  <c r="H213" s="1"/>
  <c r="G214"/>
  <c r="H214" s="1"/>
  <c r="G215"/>
  <c r="H215" s="1"/>
  <c r="G216"/>
  <c r="H216" s="1"/>
  <c r="G169"/>
  <c r="H169" s="1"/>
  <c r="G124"/>
  <c r="H124" s="1"/>
  <c r="G125"/>
  <c r="H125" s="1"/>
  <c r="G126"/>
  <c r="H126" s="1"/>
  <c r="G127"/>
  <c r="H127" s="1"/>
  <c r="G128"/>
  <c r="H128" s="1"/>
  <c r="G129"/>
  <c r="H129" s="1"/>
  <c r="G130"/>
  <c r="H130" s="1"/>
  <c r="G131"/>
  <c r="H131" s="1"/>
  <c r="G132"/>
  <c r="H132" s="1"/>
  <c r="G133"/>
  <c r="H133" s="1"/>
  <c r="G134"/>
  <c r="H134" s="1"/>
  <c r="G135"/>
  <c r="H135" s="1"/>
  <c r="G136"/>
  <c r="H136" s="1"/>
  <c r="G137"/>
  <c r="H137" s="1"/>
  <c r="G138"/>
  <c r="H138" s="1"/>
  <c r="G139"/>
  <c r="H139" s="1"/>
  <c r="G140"/>
  <c r="H140" s="1"/>
  <c r="G141"/>
  <c r="H141" s="1"/>
  <c r="G142"/>
  <c r="H142" s="1"/>
  <c r="G143"/>
  <c r="H143" s="1"/>
  <c r="G144"/>
  <c r="H144" s="1"/>
  <c r="G145"/>
  <c r="H145" s="1"/>
  <c r="G146"/>
  <c r="H146" s="1"/>
  <c r="G147"/>
  <c r="H147" s="1"/>
  <c r="G148"/>
  <c r="H148" s="1"/>
  <c r="G149"/>
  <c r="H149" s="1"/>
  <c r="G150"/>
  <c r="H150" s="1"/>
  <c r="G151"/>
  <c r="H151" s="1"/>
  <c r="G152"/>
  <c r="H152" s="1"/>
  <c r="G153"/>
  <c r="H153" s="1"/>
  <c r="G154"/>
  <c r="H154" s="1"/>
  <c r="G155"/>
  <c r="H155" s="1"/>
  <c r="G156"/>
  <c r="H156" s="1"/>
  <c r="G157"/>
  <c r="H157" s="1"/>
  <c r="G158"/>
  <c r="H158" s="1"/>
  <c r="G159"/>
  <c r="H159" s="1"/>
  <c r="G160"/>
  <c r="H160" s="1"/>
  <c r="G161"/>
  <c r="H161" s="1"/>
  <c r="G162"/>
  <c r="H162" s="1"/>
  <c r="G163"/>
  <c r="H163" s="1"/>
  <c r="G164"/>
  <c r="H164" s="1"/>
  <c r="G165"/>
  <c r="H165" s="1"/>
  <c r="G166"/>
  <c r="H166" s="1"/>
  <c r="G167"/>
  <c r="H167" s="1"/>
  <c r="G168"/>
  <c r="H168" s="1"/>
  <c r="G122"/>
  <c r="H122" s="1"/>
  <c r="G123"/>
  <c r="H123" s="1"/>
  <c r="G121"/>
  <c r="H121" s="1"/>
  <c r="G74"/>
  <c r="H74" s="1"/>
  <c r="G75"/>
  <c r="H75" s="1"/>
  <c r="G76"/>
  <c r="H76" s="1"/>
  <c r="G77"/>
  <c r="H77" s="1"/>
  <c r="G78"/>
  <c r="H78" s="1"/>
  <c r="G79"/>
  <c r="H79" s="1"/>
  <c r="G80"/>
  <c r="H80" s="1"/>
  <c r="G81"/>
  <c r="H81" s="1"/>
  <c r="G82"/>
  <c r="H82" s="1"/>
  <c r="G83"/>
  <c r="H83" s="1"/>
  <c r="G84"/>
  <c r="H84" s="1"/>
  <c r="G85"/>
  <c r="H85" s="1"/>
  <c r="G86"/>
  <c r="H86" s="1"/>
  <c r="G87"/>
  <c r="H87" s="1"/>
  <c r="G88"/>
  <c r="H88" s="1"/>
  <c r="G89"/>
  <c r="H89" s="1"/>
  <c r="G90"/>
  <c r="H90" s="1"/>
  <c r="G91"/>
  <c r="H91" s="1"/>
  <c r="G92"/>
  <c r="H92" s="1"/>
  <c r="G93"/>
  <c r="H93" s="1"/>
  <c r="G94"/>
  <c r="H94" s="1"/>
  <c r="G95"/>
  <c r="H95" s="1"/>
  <c r="G96"/>
  <c r="H96" s="1"/>
  <c r="G97"/>
  <c r="H97" s="1"/>
  <c r="G98"/>
  <c r="H98" s="1"/>
  <c r="G99"/>
  <c r="H99" s="1"/>
  <c r="G100"/>
  <c r="H100" s="1"/>
  <c r="G101"/>
  <c r="H101" s="1"/>
  <c r="G102"/>
  <c r="H102" s="1"/>
  <c r="G103"/>
  <c r="H103" s="1"/>
  <c r="G104"/>
  <c r="H104" s="1"/>
  <c r="G105"/>
  <c r="H105" s="1"/>
  <c r="G106"/>
  <c r="H106" s="1"/>
  <c r="G107"/>
  <c r="H107" s="1"/>
  <c r="G108"/>
  <c r="H108" s="1"/>
  <c r="G109"/>
  <c r="H109" s="1"/>
  <c r="G110"/>
  <c r="H110" s="1"/>
  <c r="G111"/>
  <c r="H111" s="1"/>
  <c r="G112"/>
  <c r="H112" s="1"/>
  <c r="G113"/>
  <c r="H113" s="1"/>
  <c r="G114"/>
  <c r="H114" s="1"/>
  <c r="G115"/>
  <c r="H115" s="1"/>
  <c r="G116"/>
  <c r="H116" s="1"/>
  <c r="G117"/>
  <c r="H117" s="1"/>
  <c r="G118"/>
  <c r="H118" s="1"/>
  <c r="G119"/>
  <c r="H119" s="1"/>
  <c r="G120"/>
  <c r="H120" s="1"/>
  <c r="G73"/>
  <c r="H73" s="1"/>
  <c r="E62"/>
  <c r="E60"/>
  <c r="E58"/>
  <c r="E56"/>
  <c r="E54"/>
  <c r="E52"/>
  <c r="E50"/>
  <c r="E48"/>
  <c r="E46"/>
  <c r="E44"/>
  <c r="E42"/>
  <c r="E40"/>
  <c r="E38"/>
  <c r="E36"/>
  <c r="E34"/>
  <c r="E32"/>
  <c r="E30"/>
  <c r="E28"/>
  <c r="E26"/>
  <c r="E24"/>
  <c r="E22"/>
  <c r="E20"/>
  <c r="E18"/>
  <c r="E16"/>
  <c r="E61"/>
  <c r="E59"/>
  <c r="E57"/>
  <c r="E55"/>
  <c r="E53"/>
  <c r="E51"/>
  <c r="E49"/>
  <c r="E47"/>
  <c r="E45"/>
  <c r="E43"/>
  <c r="E41"/>
  <c r="E39"/>
  <c r="E37"/>
  <c r="E35"/>
  <c r="E33"/>
  <c r="E31"/>
  <c r="E29"/>
  <c r="E27"/>
  <c r="E25"/>
  <c r="E23"/>
  <c r="E21"/>
  <c r="E19"/>
  <c r="E17"/>
  <c r="E15"/>
  <c r="D62"/>
  <c r="D61"/>
  <c r="D58"/>
  <c r="D57"/>
  <c r="D54"/>
  <c r="D53"/>
  <c r="D50"/>
  <c r="D49"/>
  <c r="D46"/>
  <c r="D45"/>
  <c r="D42"/>
  <c r="D41"/>
  <c r="D38"/>
  <c r="D37"/>
  <c r="D34"/>
  <c r="D33"/>
  <c r="D30"/>
  <c r="D29"/>
  <c r="D26"/>
  <c r="D25"/>
  <c r="D22"/>
  <c r="D21"/>
  <c r="D18"/>
  <c r="D17"/>
  <c r="D60"/>
  <c r="D59"/>
  <c r="D56"/>
  <c r="D55"/>
  <c r="D52"/>
  <c r="D51"/>
  <c r="D48"/>
  <c r="D47"/>
  <c r="D44"/>
  <c r="D43"/>
  <c r="D40"/>
  <c r="D39"/>
  <c r="D36"/>
  <c r="D35"/>
  <c r="D32"/>
  <c r="D31"/>
  <c r="D28"/>
  <c r="D27"/>
  <c r="D24"/>
  <c r="D23"/>
  <c r="D20"/>
  <c r="D19"/>
  <c r="D16"/>
  <c r="D15"/>
  <c r="C62"/>
  <c r="C61"/>
  <c r="C60"/>
  <c r="C59"/>
  <c r="C50"/>
  <c r="C49"/>
  <c r="C48"/>
  <c r="C47"/>
  <c r="C38"/>
  <c r="C37"/>
  <c r="C36"/>
  <c r="C35"/>
  <c r="C24"/>
  <c r="C25"/>
  <c r="C26"/>
  <c r="C23"/>
  <c r="C58"/>
  <c r="C57"/>
  <c r="C56"/>
  <c r="C55"/>
  <c r="C46"/>
  <c r="C45"/>
  <c r="C44"/>
  <c r="C43"/>
  <c r="C34"/>
  <c r="C33"/>
  <c r="C32"/>
  <c r="C31"/>
  <c r="C20"/>
  <c r="C21"/>
  <c r="C22"/>
  <c r="C19"/>
  <c r="C54"/>
  <c r="C53"/>
  <c r="C52"/>
  <c r="C51"/>
  <c r="C42"/>
  <c r="C41"/>
  <c r="C40"/>
  <c r="C39"/>
  <c r="C30"/>
  <c r="C29"/>
  <c r="C28"/>
  <c r="C27"/>
  <c r="C16"/>
  <c r="C17"/>
  <c r="C18"/>
  <c r="C15"/>
  <c r="B52"/>
  <c r="B53"/>
  <c r="B54"/>
  <c r="B55"/>
  <c r="B56"/>
  <c r="B57"/>
  <c r="B58"/>
  <c r="B59"/>
  <c r="B60"/>
  <c r="B61"/>
  <c r="B62"/>
  <c r="B51"/>
  <c r="B40"/>
  <c r="B41"/>
  <c r="B42"/>
  <c r="B43"/>
  <c r="B44"/>
  <c r="B45"/>
  <c r="B46"/>
  <c r="B47"/>
  <c r="B48"/>
  <c r="B49"/>
  <c r="B50"/>
  <c r="B39"/>
  <c r="B28"/>
  <c r="B29"/>
  <c r="B30"/>
  <c r="B31"/>
  <c r="B32"/>
  <c r="B33"/>
  <c r="B34"/>
  <c r="B35"/>
  <c r="B36"/>
  <c r="B37"/>
  <c r="B38"/>
  <c r="B27"/>
  <c r="B16"/>
  <c r="B17"/>
  <c r="B18"/>
  <c r="B19"/>
  <c r="B20"/>
  <c r="B21"/>
  <c r="B22"/>
  <c r="B23"/>
  <c r="B24"/>
  <c r="B25"/>
  <c r="B26"/>
  <c r="B15"/>
  <c r="E14"/>
  <c r="D14"/>
  <c r="C14"/>
  <c r="B14"/>
  <c r="C31" i="3"/>
  <c r="C30"/>
  <c r="C39"/>
  <c r="C38"/>
  <c r="C41"/>
  <c r="C40"/>
  <c r="C43"/>
  <c r="C42"/>
  <c r="C45"/>
  <c r="C44"/>
  <c r="C37"/>
  <c r="C36"/>
  <c r="C29"/>
  <c r="C28"/>
  <c r="C21"/>
  <c r="C20"/>
  <c r="C35"/>
  <c r="C34"/>
  <c r="C27"/>
  <c r="C26"/>
  <c r="C19"/>
  <c r="C18"/>
  <c r="C33"/>
  <c r="C32"/>
  <c r="C25"/>
  <c r="C24"/>
  <c r="C17"/>
  <c r="C16"/>
  <c r="C23"/>
  <c r="C22"/>
  <c r="C15"/>
  <c r="C14"/>
  <c r="B39"/>
  <c r="B40"/>
  <c r="B41"/>
  <c r="B42"/>
  <c r="B43"/>
  <c r="B44"/>
  <c r="B45"/>
  <c r="B38"/>
  <c r="B31"/>
  <c r="B32"/>
  <c r="B33"/>
  <c r="B34"/>
  <c r="B35"/>
  <c r="B36"/>
  <c r="B37"/>
  <c r="B30"/>
  <c r="B23"/>
  <c r="B24"/>
  <c r="B25"/>
  <c r="B26"/>
  <c r="B27"/>
  <c r="B28"/>
  <c r="B29"/>
  <c r="B22"/>
  <c r="B15"/>
  <c r="B16"/>
  <c r="B17"/>
  <c r="B18"/>
  <c r="B19"/>
  <c r="B20"/>
  <c r="B21"/>
  <c r="B14"/>
  <c r="D37" i="4"/>
  <c r="D35"/>
  <c r="D33"/>
  <c r="D31"/>
  <c r="D29"/>
  <c r="D27"/>
  <c r="D25"/>
  <c r="D23"/>
  <c r="D21"/>
  <c r="D19"/>
  <c r="D17"/>
  <c r="D15"/>
  <c r="D36"/>
  <c r="D34"/>
  <c r="D32"/>
  <c r="D30"/>
  <c r="D28"/>
  <c r="D26"/>
  <c r="D24"/>
  <c r="D22"/>
  <c r="D20"/>
  <c r="D18"/>
  <c r="D16"/>
  <c r="D14"/>
  <c r="C37"/>
  <c r="C36"/>
  <c r="C31"/>
  <c r="C30"/>
  <c r="C25"/>
  <c r="C24"/>
  <c r="C19"/>
  <c r="C18"/>
  <c r="C33"/>
  <c r="C32"/>
  <c r="C27"/>
  <c r="C26"/>
  <c r="C21"/>
  <c r="C20"/>
  <c r="C15"/>
  <c r="C14"/>
  <c r="B33"/>
  <c r="B34"/>
  <c r="B35"/>
  <c r="B36"/>
  <c r="B37"/>
  <c r="B32"/>
  <c r="B27"/>
  <c r="B28"/>
  <c r="B29"/>
  <c r="B30"/>
  <c r="B31"/>
  <c r="B26"/>
  <c r="B21"/>
  <c r="B22"/>
  <c r="B23"/>
  <c r="B24"/>
  <c r="B25"/>
  <c r="B20"/>
  <c r="B15"/>
  <c r="B16"/>
  <c r="B17"/>
  <c r="B18"/>
  <c r="B19"/>
  <c r="B14"/>
  <c r="D13"/>
  <c r="C13"/>
  <c r="B13"/>
  <c r="D13" i="3"/>
  <c r="C13"/>
  <c r="B13"/>
  <c r="AA24" i="5"/>
  <c r="AA26" s="1"/>
  <c r="Z24"/>
  <c r="Z26" s="1"/>
  <c r="Y24"/>
  <c r="Y26" s="1"/>
  <c r="X24"/>
  <c r="X26" s="1"/>
  <c r="W24"/>
  <c r="W26" s="1"/>
  <c r="V24"/>
  <c r="V26" s="1"/>
  <c r="U24"/>
  <c r="U26" s="1"/>
  <c r="T24"/>
  <c r="T26" s="1"/>
  <c r="S24"/>
  <c r="S26" s="1"/>
  <c r="R24"/>
  <c r="R26" s="1"/>
  <c r="Q24"/>
  <c r="Q26" s="1"/>
  <c r="P24"/>
  <c r="P26" s="1"/>
  <c r="O24"/>
  <c r="O26" s="1"/>
  <c r="N24"/>
  <c r="N26" s="1"/>
  <c r="M24"/>
  <c r="M26" s="1"/>
  <c r="L24"/>
  <c r="L26" s="1"/>
  <c r="K24"/>
  <c r="K26" s="1"/>
  <c r="J24"/>
  <c r="J26" s="1"/>
  <c r="I24"/>
  <c r="I26" s="1"/>
  <c r="E21" s="1"/>
  <c r="J21"/>
  <c r="B19" s="1"/>
  <c r="J20"/>
  <c r="B18" s="1"/>
  <c r="N43" i="4" l="1"/>
  <c r="N42"/>
  <c r="M43"/>
  <c r="M42"/>
  <c r="Q41"/>
  <c r="P41"/>
  <c r="O41"/>
  <c r="Q40"/>
  <c r="P40"/>
  <c r="O40"/>
  <c r="E19"/>
  <c r="E25"/>
  <c r="E31"/>
  <c r="E37"/>
  <c r="Q43"/>
  <c r="E17"/>
  <c r="E23"/>
  <c r="E29"/>
  <c r="E35"/>
  <c r="E15"/>
  <c r="E21"/>
  <c r="E27"/>
  <c r="E33"/>
  <c r="E18"/>
  <c r="E24"/>
  <c r="E30"/>
  <c r="E36"/>
  <c r="E16"/>
  <c r="E22"/>
  <c r="E28"/>
  <c r="E34"/>
  <c r="E14"/>
  <c r="O31" s="1"/>
  <c r="E20"/>
  <c r="E26"/>
  <c r="E32"/>
  <c r="R32"/>
  <c r="Q32"/>
  <c r="P32"/>
  <c r="O32"/>
  <c r="Q31"/>
  <c r="R29"/>
  <c r="Q29"/>
  <c r="P29"/>
  <c r="O29"/>
  <c r="R28"/>
  <c r="Q28"/>
  <c r="P28"/>
  <c r="O28"/>
  <c r="Q27"/>
  <c r="P27"/>
  <c r="O27"/>
  <c r="N32"/>
  <c r="M32"/>
  <c r="N31"/>
  <c r="M31"/>
  <c r="N29"/>
  <c r="M29"/>
  <c r="N28"/>
  <c r="M28"/>
  <c r="N27"/>
  <c r="M27"/>
  <c r="R26"/>
  <c r="Q26"/>
  <c r="P26"/>
  <c r="O26"/>
  <c r="R25"/>
  <c r="Q25"/>
  <c r="P25"/>
  <c r="O25"/>
  <c r="B41"/>
  <c r="D41" s="1"/>
  <c r="S10" s="1"/>
  <c r="B40"/>
  <c r="C40" s="1"/>
  <c r="B42"/>
  <c r="C42" s="1"/>
  <c r="W11"/>
  <c r="O11"/>
  <c r="B43"/>
  <c r="W9"/>
  <c r="V9"/>
  <c r="T9"/>
  <c r="S9"/>
  <c r="R9"/>
  <c r="P9"/>
  <c r="O9"/>
  <c r="N9"/>
  <c r="M9"/>
  <c r="W8"/>
  <c r="V8"/>
  <c r="T8"/>
  <c r="S8"/>
  <c r="R8"/>
  <c r="P8"/>
  <c r="O8"/>
  <c r="N8"/>
  <c r="M8"/>
  <c r="F35" i="2"/>
  <c r="F36"/>
  <c r="F37"/>
  <c r="F38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P69"/>
  <c r="Q68"/>
  <c r="P68"/>
  <c r="P51"/>
  <c r="R52"/>
  <c r="Q52"/>
  <c r="P52"/>
  <c r="R51"/>
  <c r="Q51"/>
  <c r="P49"/>
  <c r="R49"/>
  <c r="Q49"/>
  <c r="R48"/>
  <c r="Q48"/>
  <c r="P48"/>
  <c r="N52"/>
  <c r="N51"/>
  <c r="O52"/>
  <c r="O51"/>
  <c r="N49"/>
  <c r="N48"/>
  <c r="O49"/>
  <c r="O48"/>
  <c r="R47"/>
  <c r="Q47"/>
  <c r="P47"/>
  <c r="R46"/>
  <c r="Q46"/>
  <c r="P46"/>
  <c r="O35"/>
  <c r="R36"/>
  <c r="Q36"/>
  <c r="P36"/>
  <c r="O36"/>
  <c r="R35"/>
  <c r="Q35"/>
  <c r="P35"/>
  <c r="O32"/>
  <c r="R33"/>
  <c r="Q33"/>
  <c r="P33"/>
  <c r="O33"/>
  <c r="R32"/>
  <c r="Q32"/>
  <c r="P32"/>
  <c r="R30"/>
  <c r="Q30"/>
  <c r="P30"/>
  <c r="O30"/>
  <c r="R29"/>
  <c r="Q29"/>
  <c r="P29"/>
  <c r="O29"/>
  <c r="R28"/>
  <c r="Q28"/>
  <c r="P28"/>
  <c r="O28"/>
  <c r="M36"/>
  <c r="M35"/>
  <c r="N36"/>
  <c r="N35"/>
  <c r="M33"/>
  <c r="M32"/>
  <c r="N33"/>
  <c r="N32"/>
  <c r="N30"/>
  <c r="N29"/>
  <c r="N28"/>
  <c r="M30"/>
  <c r="M29"/>
  <c r="M28"/>
  <c r="R26"/>
  <c r="Q26"/>
  <c r="P26"/>
  <c r="O26"/>
  <c r="R27"/>
  <c r="B65"/>
  <c r="D65" s="1"/>
  <c r="B68"/>
  <c r="C68" s="1"/>
  <c r="Q18" s="1"/>
  <c r="Y19"/>
  <c r="U17"/>
  <c r="U16"/>
  <c r="Q17"/>
  <c r="Q16"/>
  <c r="O69"/>
  <c r="N69"/>
  <c r="O68"/>
  <c r="N68"/>
  <c r="Q67"/>
  <c r="P67"/>
  <c r="Q66"/>
  <c r="P66"/>
  <c r="Q27"/>
  <c r="P27"/>
  <c r="O27"/>
  <c r="Q20"/>
  <c r="P20"/>
  <c r="O20"/>
  <c r="AA17"/>
  <c r="Z17"/>
  <c r="X17"/>
  <c r="W17"/>
  <c r="T17"/>
  <c r="S17"/>
  <c r="P17"/>
  <c r="O17"/>
  <c r="N17"/>
  <c r="AA16"/>
  <c r="Z16"/>
  <c r="X16"/>
  <c r="W16"/>
  <c r="T16"/>
  <c r="S16"/>
  <c r="P16"/>
  <c r="O16"/>
  <c r="N16"/>
  <c r="E20" i="3"/>
  <c r="E28"/>
  <c r="E36"/>
  <c r="E44"/>
  <c r="E21"/>
  <c r="E29"/>
  <c r="E37"/>
  <c r="E45"/>
  <c r="E19"/>
  <c r="E27"/>
  <c r="E35"/>
  <c r="E43"/>
  <c r="E18"/>
  <c r="E26"/>
  <c r="E34"/>
  <c r="E42"/>
  <c r="E15"/>
  <c r="E23"/>
  <c r="E31"/>
  <c r="E39"/>
  <c r="E17"/>
  <c r="E25"/>
  <c r="E33"/>
  <c r="E41"/>
  <c r="E16"/>
  <c r="E24"/>
  <c r="E32"/>
  <c r="E40"/>
  <c r="E14"/>
  <c r="P31" s="1"/>
  <c r="E22"/>
  <c r="E30"/>
  <c r="E38"/>
  <c r="N45"/>
  <c r="N44"/>
  <c r="O45"/>
  <c r="O44"/>
  <c r="S43"/>
  <c r="R43"/>
  <c r="Q43"/>
  <c r="P43"/>
  <c r="S42"/>
  <c r="R42"/>
  <c r="Q42"/>
  <c r="P42"/>
  <c r="S32"/>
  <c r="R32"/>
  <c r="Q32"/>
  <c r="P32"/>
  <c r="S31"/>
  <c r="R31"/>
  <c r="Q31"/>
  <c r="P29"/>
  <c r="S29"/>
  <c r="R29"/>
  <c r="Q29"/>
  <c r="P28"/>
  <c r="S28"/>
  <c r="R28"/>
  <c r="Q28"/>
  <c r="P27"/>
  <c r="S27"/>
  <c r="R27"/>
  <c r="Q27"/>
  <c r="S26"/>
  <c r="R26"/>
  <c r="Q26"/>
  <c r="P26"/>
  <c r="N32"/>
  <c r="N31"/>
  <c r="O32"/>
  <c r="O31"/>
  <c r="N29"/>
  <c r="N28"/>
  <c r="N27"/>
  <c r="N26"/>
  <c r="O29"/>
  <c r="O28"/>
  <c r="O27"/>
  <c r="O26"/>
  <c r="S25"/>
  <c r="Q25"/>
  <c r="R25"/>
  <c r="P25"/>
  <c r="S24"/>
  <c r="R24"/>
  <c r="Q24"/>
  <c r="P24"/>
  <c r="Y7"/>
  <c r="X7"/>
  <c r="Y8"/>
  <c r="X8"/>
  <c r="B50"/>
  <c r="V7"/>
  <c r="U7"/>
  <c r="T7"/>
  <c r="S7"/>
  <c r="V8"/>
  <c r="U8"/>
  <c r="T8"/>
  <c r="S8"/>
  <c r="Q8"/>
  <c r="P8"/>
  <c r="O8"/>
  <c r="N8"/>
  <c r="Q7"/>
  <c r="P7"/>
  <c r="O7"/>
  <c r="N7"/>
  <c r="T19" i="2" l="1"/>
  <c r="P42" i="4"/>
  <c r="O19" i="2"/>
  <c r="Z19"/>
  <c r="B67"/>
  <c r="D67" s="1"/>
  <c r="U18" s="1"/>
  <c r="O43" i="4"/>
  <c r="S11"/>
  <c r="R31"/>
  <c r="O42"/>
  <c r="P43"/>
  <c r="M11"/>
  <c r="Q11"/>
  <c r="U11"/>
  <c r="R27"/>
  <c r="P31"/>
  <c r="Q42"/>
  <c r="B49" i="3"/>
  <c r="D49" s="1"/>
  <c r="T9" s="1"/>
  <c r="B51"/>
  <c r="D51" s="1"/>
  <c r="V9" s="1"/>
  <c r="B48"/>
  <c r="X10" s="1"/>
  <c r="Q19" i="2"/>
  <c r="W19"/>
  <c r="R19"/>
  <c r="Q69"/>
  <c r="B66"/>
  <c r="P44" i="3"/>
  <c r="R44"/>
  <c r="Q45"/>
  <c r="S45"/>
  <c r="Y10"/>
  <c r="U10"/>
  <c r="Q10"/>
  <c r="O10"/>
  <c r="Q44"/>
  <c r="R45"/>
  <c r="P45"/>
  <c r="S44"/>
  <c r="C66" i="2"/>
  <c r="F66"/>
  <c r="O18"/>
  <c r="D66"/>
  <c r="T18" s="1"/>
  <c r="E66"/>
  <c r="AA18"/>
  <c r="S18"/>
  <c r="E40" i="4"/>
  <c r="C43"/>
  <c r="P10" s="1"/>
  <c r="C41"/>
  <c r="N10" s="1"/>
  <c r="D42"/>
  <c r="D40"/>
  <c r="R10" s="1"/>
  <c r="E49" i="3"/>
  <c r="Y9" s="1"/>
  <c r="C50"/>
  <c r="P9" s="1"/>
  <c r="C48"/>
  <c r="D50"/>
  <c r="D48"/>
  <c r="F65" i="2"/>
  <c r="C67"/>
  <c r="P18" s="1"/>
  <c r="C65"/>
  <c r="N19"/>
  <c r="P19"/>
  <c r="S19"/>
  <c r="U19"/>
  <c r="X19"/>
  <c r="AA19"/>
  <c r="V19"/>
  <c r="M10" i="4"/>
  <c r="O10"/>
  <c r="N11"/>
  <c r="P11"/>
  <c r="R11"/>
  <c r="T11"/>
  <c r="V11"/>
  <c r="E41"/>
  <c r="C51" i="3"/>
  <c r="Q9" s="1"/>
  <c r="C49"/>
  <c r="O9" s="1"/>
  <c r="E65" i="2"/>
  <c r="V10" i="4" l="1"/>
  <c r="T10" i="3"/>
  <c r="S10"/>
  <c r="W10"/>
  <c r="P10"/>
  <c r="E48"/>
  <c r="V10"/>
  <c r="N10"/>
  <c r="R10"/>
  <c r="T10" i="4"/>
  <c r="X18" i="2"/>
  <c r="U9" i="3"/>
  <c r="S9"/>
  <c r="N9"/>
  <c r="W18" i="2"/>
  <c r="N18"/>
  <c r="Z18"/>
  <c r="W10" i="4"/>
  <c r="X9" i="3" l="1"/>
</calcChain>
</file>

<file path=xl/sharedStrings.xml><?xml version="1.0" encoding="utf-8"?>
<sst xmlns="http://schemas.openxmlformats.org/spreadsheetml/2006/main" count="2708" uniqueCount="213">
  <si>
    <t>TNF</t>
  </si>
  <si>
    <t>Domaine du plan</t>
  </si>
  <si>
    <t>Facteurs</t>
  </si>
  <si>
    <t>Niveau 1</t>
  </si>
  <si>
    <t>Niveau 2</t>
  </si>
  <si>
    <t>Niveau 3</t>
  </si>
  <si>
    <t>NE DOCUMENTER</t>
  </si>
  <si>
    <t xml:space="preserve">A =  </t>
  </si>
  <si>
    <t xml:space="preserve">B =  </t>
  </si>
  <si>
    <t>DE COULEUR BLANCHE</t>
  </si>
  <si>
    <t>Essais</t>
  </si>
  <si>
    <t>Réponses</t>
  </si>
  <si>
    <t>Y1</t>
  </si>
  <si>
    <t>Y2</t>
  </si>
  <si>
    <t>Y3</t>
  </si>
  <si>
    <t>Y4</t>
  </si>
  <si>
    <t>Y5</t>
  </si>
  <si>
    <t>Effets moyens</t>
  </si>
  <si>
    <t>Général</t>
  </si>
  <si>
    <t>Facteur A</t>
  </si>
  <si>
    <t>Facteur B</t>
  </si>
  <si>
    <t>niveau 1</t>
  </si>
  <si>
    <t>niveau 2</t>
  </si>
  <si>
    <t>niveau 3</t>
  </si>
  <si>
    <t>30°C</t>
  </si>
  <si>
    <t xml:space="preserve">C =  </t>
  </si>
  <si>
    <t>Facteur C</t>
  </si>
  <si>
    <t>10°C</t>
  </si>
  <si>
    <t>20°C</t>
  </si>
  <si>
    <t>Moût</t>
  </si>
  <si>
    <t>10%</t>
  </si>
  <si>
    <t>30%</t>
  </si>
  <si>
    <t>Durée</t>
  </si>
  <si>
    <t>1 h.</t>
  </si>
  <si>
    <t>3 h.</t>
  </si>
  <si>
    <t xml:space="preserve">D =  </t>
  </si>
  <si>
    <t>Oxyg.</t>
  </si>
  <si>
    <t>Non</t>
  </si>
  <si>
    <t>Oui</t>
  </si>
  <si>
    <t>Int. avec A</t>
  </si>
  <si>
    <t>Facteur D</t>
  </si>
  <si>
    <t>Niveau 4</t>
  </si>
  <si>
    <t>niveau 4</t>
  </si>
  <si>
    <t>40°C</t>
  </si>
  <si>
    <t>50%</t>
  </si>
  <si>
    <t>Virus</t>
  </si>
  <si>
    <t>Temps</t>
  </si>
  <si>
    <t>OUI</t>
  </si>
  <si>
    <t>NON</t>
  </si>
  <si>
    <t xml:space="preserve">  </t>
  </si>
  <si>
    <t xml:space="preserve"> </t>
  </si>
  <si>
    <t>Moyenne</t>
  </si>
  <si>
    <t>Calcul du nombre d'essais nécessaires pour un plan d'expériences complet</t>
  </si>
  <si>
    <r>
      <rPr>
        <b/>
        <sz val="10"/>
        <rFont val="Times New Roman"/>
        <family val="1"/>
      </rPr>
      <t>Cette première feuille</t>
    </r>
    <r>
      <rPr>
        <sz val="10"/>
        <rFont val="Times New Roman"/>
        <family val="1"/>
      </rPr>
      <t xml:space="preserve"> permet de calculer le nombre minimal d'essais nécessaires</t>
    </r>
  </si>
  <si>
    <t>pour un plan d'expériences complet, c'est à dire permettant de calculer tous</t>
  </si>
  <si>
    <t>Le calcul est possible jusqu'à 30 facteurs ayant au plus chacun 20 niveaux.</t>
  </si>
  <si>
    <r>
      <rPr>
        <b/>
        <sz val="10"/>
        <rFont val="Times New Roman"/>
        <family val="1"/>
      </rPr>
      <t>Les feuilles suivantes</t>
    </r>
    <r>
      <rPr>
        <sz val="10"/>
        <rFont val="Times New Roman"/>
        <family val="1"/>
      </rPr>
      <t xml:space="preserve"> aident à la réalisation de quelques plans complets</t>
    </r>
  </si>
  <si>
    <t>La réalisation des mesures nécessite en outre une randomisation de l'ordre des essais.</t>
  </si>
  <si>
    <r>
      <rPr>
        <b/>
        <sz val="10"/>
        <rFont val="Times New Roman"/>
        <family val="1"/>
      </rPr>
      <t>Dans le tableau ci-dessous</t>
    </r>
    <r>
      <rPr>
        <sz val="10"/>
        <rFont val="Times New Roman"/>
        <family val="1"/>
      </rPr>
      <t>, indiquer dans les cellules jaunes le nombre de niveaux</t>
    </r>
  </si>
  <si>
    <t>de chacun des facteurs de l'expérience. Laisser à zéro les facteurs non utilisés.</t>
  </si>
  <si>
    <t>Le nombre minimal d'essais nécessaires</t>
  </si>
  <si>
    <t>Niveaux = 1 :</t>
  </si>
  <si>
    <t>Niveaux &gt; 20 :</t>
  </si>
  <si>
    <t>Nb. niveaux</t>
  </si>
  <si>
    <t>NBSI 2</t>
  </si>
  <si>
    <t>NBSI 3</t>
  </si>
  <si>
    <t>NBSI 4</t>
  </si>
  <si>
    <t>NBSI 5</t>
  </si>
  <si>
    <t>NBSI 6</t>
  </si>
  <si>
    <t>NBSI 7</t>
  </si>
  <si>
    <t>NBSI 8</t>
  </si>
  <si>
    <t>NBSI 9</t>
  </si>
  <si>
    <t>NBSI 10</t>
  </si>
  <si>
    <t>NBSI 11</t>
  </si>
  <si>
    <t>NBSI 12</t>
  </si>
  <si>
    <t>NBSI 13</t>
  </si>
  <si>
    <t>NBSI 14</t>
  </si>
  <si>
    <t>NBSI 15</t>
  </si>
  <si>
    <t>NBSI 16</t>
  </si>
  <si>
    <t>NBSI 17</t>
  </si>
  <si>
    <t>NBSI 18</t>
  </si>
  <si>
    <t>NBSI 19</t>
  </si>
  <si>
    <t>NBSI 20</t>
  </si>
  <si>
    <t>Facteur 1</t>
  </si>
  <si>
    <t>Facteur 2</t>
  </si>
  <si>
    <t>Facteur 3</t>
  </si>
  <si>
    <t>Facteur 4</t>
  </si>
  <si>
    <t>Facteur 5</t>
  </si>
  <si>
    <t>Facteur 6</t>
  </si>
  <si>
    <t>Facteur 7</t>
  </si>
  <si>
    <t>Facteur 8</t>
  </si>
  <si>
    <t>Facteur 9</t>
  </si>
  <si>
    <t>Facteur 10</t>
  </si>
  <si>
    <t>Facteur 11</t>
  </si>
  <si>
    <t>Facteur 12</t>
  </si>
  <si>
    <t>Facteur 13</t>
  </si>
  <si>
    <t>Facteur 14</t>
  </si>
  <si>
    <t>Facteur 15</t>
  </si>
  <si>
    <t>Facteur 16</t>
  </si>
  <si>
    <t>Facteur 17</t>
  </si>
  <si>
    <t>Facteur 18</t>
  </si>
  <si>
    <t>Facteur 19</t>
  </si>
  <si>
    <t>Facteur 20</t>
  </si>
  <si>
    <t>Facteur 21</t>
  </si>
  <si>
    <t>Facteur 22</t>
  </si>
  <si>
    <t>Facteur 23</t>
  </si>
  <si>
    <t>Facteur 24</t>
  </si>
  <si>
    <t>Facteur 25</t>
  </si>
  <si>
    <t>Facteur 26</t>
  </si>
  <si>
    <t>Facteur 27</t>
  </si>
  <si>
    <t>Facteur 28</t>
  </si>
  <si>
    <t>Facteur 29</t>
  </si>
  <si>
    <t>Facteur 30</t>
  </si>
  <si>
    <t>Contact : lepape.gilles@anastats.fr</t>
  </si>
  <si>
    <t>Utiliser les colonnes Y2 à Y5 pour des réplications éventuelles.</t>
  </si>
  <si>
    <t>QUE LES CELLULES</t>
  </si>
  <si>
    <t>1</t>
  </si>
  <si>
    <t>2</t>
  </si>
  <si>
    <t>3</t>
  </si>
  <si>
    <t>4</t>
  </si>
  <si>
    <t>Temp.</t>
  </si>
  <si>
    <r>
      <t xml:space="preserve">utilisant uniquement des facteurs à 2, 3 ou 4 niveaux. </t>
    </r>
    <r>
      <rPr>
        <u/>
        <sz val="10"/>
        <rFont val="Times New Roman"/>
        <family val="1"/>
      </rPr>
      <t>Tous les effectifs doivent être équilibrés</t>
    </r>
    <r>
      <rPr>
        <sz val="10"/>
        <rFont val="Times New Roman"/>
        <family val="1"/>
      </rPr>
      <t>.</t>
    </r>
  </si>
  <si>
    <t>pour ce plan complet est :</t>
  </si>
  <si>
    <t>V10</t>
  </si>
  <si>
    <t>V20</t>
  </si>
  <si>
    <t>V30</t>
  </si>
  <si>
    <t>V1</t>
  </si>
  <si>
    <t>1h</t>
  </si>
  <si>
    <t>24h</t>
  </si>
  <si>
    <t>48h</t>
  </si>
  <si>
    <t>72h</t>
  </si>
  <si>
    <t>Plan factoriel complet à quatre dimensions</t>
  </si>
  <si>
    <t>Deux facteurs à deux niveaux chacun</t>
  </si>
  <si>
    <t>Un facteur à trois niveaux</t>
  </si>
  <si>
    <t>Un facteur à quatre niveaux</t>
  </si>
  <si>
    <t>Données empilées</t>
  </si>
  <si>
    <t>A1</t>
  </si>
  <si>
    <t>A2</t>
  </si>
  <si>
    <t>A3</t>
  </si>
  <si>
    <t>A4</t>
  </si>
  <si>
    <t>B1</t>
  </si>
  <si>
    <t>B2</t>
  </si>
  <si>
    <t>B3</t>
  </si>
  <si>
    <t>C1</t>
  </si>
  <si>
    <t>C2</t>
  </si>
  <si>
    <t>D2</t>
  </si>
  <si>
    <t>D1</t>
  </si>
  <si>
    <t>Plan factoriel complet à trois dimensions</t>
  </si>
  <si>
    <t>Deux facteurs à quatre niveaux chacun</t>
  </si>
  <si>
    <t>et un facteur à deux niveaux</t>
  </si>
  <si>
    <t>B4</t>
  </si>
  <si>
    <t>Un facteur à deux niveaux</t>
  </si>
  <si>
    <t>les effets principaux.</t>
  </si>
  <si>
    <t>Une fois les résultats saisis, chaque feuille fournit les graphiques des effets principaux et des interactions.</t>
  </si>
  <si>
    <t>fact.a</t>
  </si>
  <si>
    <t>fact.b</t>
  </si>
  <si>
    <t>fact.c</t>
  </si>
  <si>
    <t>reponses</t>
  </si>
  <si>
    <t>groupes</t>
  </si>
  <si>
    <t>Commandes de l'ANOVA avec R</t>
  </si>
  <si>
    <t>sous le tableau des données empilées</t>
  </si>
  <si>
    <t>Réalisation de l'analyse de variance avec le logiciel R</t>
  </si>
  <si>
    <r>
      <rPr>
        <b/>
        <sz val="10"/>
        <rFont val="Times New Roman"/>
        <family val="1"/>
      </rPr>
      <t>1. Importer le tableau</t>
    </r>
    <r>
      <rPr>
        <sz val="10"/>
        <rFont val="Times New Roman"/>
        <family val="1"/>
      </rPr>
      <t xml:space="preserve"> des "données empilées" sous 'data', uniquement les lignes contenant des réponses numériques</t>
    </r>
  </si>
  <si>
    <t>et la ligne de titres de colonnes.</t>
  </si>
  <si>
    <t>2. ANOVA</t>
  </si>
  <si>
    <r>
      <t xml:space="preserve">  </t>
    </r>
    <r>
      <rPr>
        <u/>
        <sz val="10"/>
        <rFont val="Times New Roman"/>
        <family val="1"/>
      </rPr>
      <t>2.1. Si une seule série de réponses =&gt; ANOVA</t>
    </r>
  </si>
  <si>
    <r>
      <t xml:space="preserve">  </t>
    </r>
    <r>
      <rPr>
        <u/>
        <sz val="10"/>
        <rFont val="Times New Roman"/>
        <family val="1"/>
      </rPr>
      <t>2.2. Si plusieurs séries de réponses</t>
    </r>
  </si>
  <si>
    <t xml:space="preserve">    2.2.1. Test de l'homogénéité des variances dans les groupes</t>
  </si>
  <si>
    <t>library(car)</t>
  </si>
  <si>
    <t>leveneTest(reponses~groupes, data)</t>
  </si>
  <si>
    <t xml:space="preserve">    2.2.2. ANOVA si plusieurs séries de réponses</t>
  </si>
  <si>
    <t>f3n432&lt;-lm(reponses~fact.a + fact.b + fact.c, data=data)</t>
  </si>
  <si>
    <t>summary(f3n432) # coefficients</t>
  </si>
  <si>
    <t>anova(f3n432) # tableau de l'ANOVA</t>
  </si>
  <si>
    <t>f3n432&lt;-lm(reponses~fact.a * fact.b * fact.c, data=data)</t>
  </si>
  <si>
    <t>f3n442&lt;-lm(reponses~fact.a + fact.b + fact.c, data=data)</t>
  </si>
  <si>
    <t>summary(f3n442) # coefficients</t>
  </si>
  <si>
    <t>anova(f3n442) # tableau de l'ANOVA</t>
  </si>
  <si>
    <t>f3n442&lt;-lm(reponses~fact.a * fact.b * fact.c, data=data)</t>
  </si>
  <si>
    <t>fact.d</t>
  </si>
  <si>
    <t>f4n4322&lt;-lm(reponses~fact.a + fact.b + fact.c + fact.d, data=data)</t>
  </si>
  <si>
    <t>summary(f4n4322) # coefficients</t>
  </si>
  <si>
    <t>anova(f4n4322) # tableau de l'ANOVA</t>
  </si>
  <si>
    <t>f4n4322&lt;-lm(reponses~fact.a * fact.b * fact.c * fact.d, data=data)</t>
  </si>
  <si>
    <t>Chaque feuille fournit également le tableau des données empilées et les commandes</t>
  </si>
  <si>
    <t>pour réaliser l'analyse de variance sous R.</t>
  </si>
  <si>
    <t>Deux solutions selon le déroulement des mesures :</t>
  </si>
  <si>
    <t>- solution 1 : toutes les mesures ont été randomisées ensemble.</t>
  </si>
  <si>
    <t xml:space="preserve">   Il s'agit alors d'un modèle à effets fixes seuls.</t>
  </si>
  <si>
    <t>- solution 2 : les séries Y1, Y2, Y3…Y5 sont des réplications indépendantes</t>
  </si>
  <si>
    <t xml:space="preserve">  constituant des "blocs" entre lesquels existe une variation non contrôlée.</t>
  </si>
  <si>
    <t xml:space="preserve">  Il s'agit alors d'un modèle à effets mixtes.</t>
  </si>
  <si>
    <t>Solution 1 : effets fixes seuls</t>
  </si>
  <si>
    <t>Solution 2 : effets mixtes</t>
  </si>
  <si>
    <t>library(nlme)</t>
  </si>
  <si>
    <t>blocs</t>
  </si>
  <si>
    <t>f3n432&lt;-lme(reponses~fact.a*fact.b*fact.c, random=~1|blocs, data=data)</t>
  </si>
  <si>
    <t>Anova(f3n432) # tableau de l'ANOVA</t>
  </si>
  <si>
    <t>shapiro.test(residuals(f3n432))</t>
  </si>
  <si>
    <t>qqnorm(residuals(f3n432)) ; qqline(residuals(f3n432))</t>
  </si>
  <si>
    <t>hist(residuals(f3n432))</t>
  </si>
  <si>
    <r>
      <rPr>
        <b/>
        <sz val="10"/>
        <rFont val="Times New Roman"/>
        <family val="1"/>
      </rPr>
      <t>3. Test et observation de la normalité des résidus</t>
    </r>
    <r>
      <rPr>
        <sz val="10"/>
        <rFont val="Times New Roman"/>
        <family val="1"/>
      </rPr>
      <t xml:space="preserve"> (dans tous les cas)</t>
    </r>
  </si>
  <si>
    <t>f3n442&lt;-lme(reponses~fact.a*fact.b*fact.c, random=~1|blocs, data=data)</t>
  </si>
  <si>
    <t>Anova(f3n442) # tableau de l'ANOVA</t>
  </si>
  <si>
    <t>shapiro.test(residuals(f3n442))</t>
  </si>
  <si>
    <t>qqnorm(residuals(f3n442)) ; qqline(residuals(f3n442))</t>
  </si>
  <si>
    <t>hist(residuals(f3n442))</t>
  </si>
  <si>
    <t>Anova(f4n4322) # tableau de l'ANOVA</t>
  </si>
  <si>
    <t>shapiro.test(residuals(f4n4322))</t>
  </si>
  <si>
    <t>qqnorm(residuals(f4n4322)) ; qqline(residuals(f4n4322))</t>
  </si>
  <si>
    <t>hist(residuals(f4n4322))</t>
  </si>
  <si>
    <t>f4n4322&lt;-lme(reponses~fact.a*fact.b*fact.c*fact.d, random=~1|blocs, data=data)</t>
  </si>
  <si>
    <t>info@anastats.fr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</si>
</sst>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0.0"/>
  </numFmts>
  <fonts count="28">
    <font>
      <sz val="10"/>
      <name val="Arial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color indexed="16"/>
      <name val="Times New Roman"/>
      <family val="1"/>
    </font>
    <font>
      <i/>
      <sz val="11"/>
      <name val="Times New Roman"/>
      <family val="1"/>
    </font>
    <font>
      <b/>
      <i/>
      <sz val="10"/>
      <name val="Times New Roman"/>
      <family val="1"/>
    </font>
    <font>
      <i/>
      <sz val="10"/>
      <color indexed="32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Trebuchet MS"/>
      <family val="2"/>
    </font>
    <font>
      <b/>
      <sz val="10"/>
      <color rgb="FFFF0000"/>
      <name val="Arial"/>
      <family val="2"/>
    </font>
    <font>
      <u/>
      <sz val="8.5"/>
      <color indexed="12"/>
      <name val="Times New Roman"/>
      <family val="1"/>
    </font>
    <font>
      <u/>
      <sz val="9"/>
      <color theme="10"/>
      <name val="Times New Roman"/>
      <family val="1"/>
    </font>
    <font>
      <u/>
      <sz val="10"/>
      <name val="Times New Roman"/>
      <family val="1"/>
    </font>
    <font>
      <sz val="10"/>
      <name val="Arial"/>
      <family val="2"/>
    </font>
    <font>
      <sz val="12"/>
      <name val="Trebuchet MS"/>
      <family val="2"/>
    </font>
    <font>
      <b/>
      <sz val="10"/>
      <name val="Arial"/>
      <family val="2"/>
    </font>
    <font>
      <sz val="10"/>
      <color indexed="32"/>
      <name val="Arial"/>
      <family val="2"/>
    </font>
    <font>
      <b/>
      <sz val="12"/>
      <name val="Trebuchet MS"/>
      <family val="2"/>
    </font>
    <font>
      <b/>
      <sz val="11"/>
      <name val="Trebuchet MS"/>
      <family val="2"/>
    </font>
    <font>
      <sz val="12"/>
      <name val="Times New Roman"/>
      <family val="1"/>
    </font>
    <font>
      <b/>
      <sz val="10"/>
      <name val="Courier New"/>
      <family val="3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9" fontId="20" fillId="0" borderId="0" applyFont="0" applyFill="0" applyBorder="0" applyAlignment="0" applyProtection="0"/>
  </cellStyleXfs>
  <cellXfs count="187">
    <xf numFmtId="0" fontId="0" fillId="0" borderId="0" xfId="0"/>
    <xf numFmtId="0" fontId="0" fillId="3" borderId="1" xfId="0" applyFill="1" applyBorder="1" applyAlignment="1" applyProtection="1">
      <alignment horizontal="center"/>
      <protection locked="0"/>
    </xf>
    <xf numFmtId="164" fontId="0" fillId="0" borderId="8" xfId="0" applyNumberFormat="1" applyBorder="1" applyAlignment="1"/>
    <xf numFmtId="164" fontId="0" fillId="0" borderId="0" xfId="0" applyNumberFormat="1" applyAlignment="1"/>
    <xf numFmtId="164" fontId="0" fillId="0" borderId="11" xfId="0" applyNumberFormat="1" applyBorder="1" applyAlignment="1"/>
    <xf numFmtId="49" fontId="0" fillId="0" borderId="0" xfId="0" applyNumberFormat="1" applyAlignment="1"/>
    <xf numFmtId="49" fontId="0" fillId="0" borderId="8" xfId="0" applyNumberFormat="1" applyBorder="1" applyAlignment="1"/>
    <xf numFmtId="49" fontId="0" fillId="0" borderId="11" xfId="0" applyNumberFormat="1" applyBorder="1" applyAlignment="1"/>
    <xf numFmtId="0" fontId="0" fillId="4" borderId="0" xfId="0" applyFill="1"/>
    <xf numFmtId="0" fontId="0" fillId="4" borderId="0" xfId="0" applyFill="1" applyBorder="1"/>
    <xf numFmtId="0" fontId="4" fillId="4" borderId="1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Continuous"/>
    </xf>
    <xf numFmtId="0" fontId="4" fillId="4" borderId="0" xfId="0" applyFont="1" applyFill="1"/>
    <xf numFmtId="0" fontId="4" fillId="4" borderId="0" xfId="0" applyFont="1" applyFill="1" applyAlignment="1">
      <alignment horizontal="centerContinuous" wrapText="1"/>
    </xf>
    <xf numFmtId="0" fontId="8" fillId="4" borderId="0" xfId="0" applyFont="1" applyFill="1" applyBorder="1" applyAlignment="1">
      <alignment horizontal="center" vertical="center"/>
    </xf>
    <xf numFmtId="49" fontId="0" fillId="4" borderId="0" xfId="0" applyNumberFormat="1" applyFill="1" applyBorder="1"/>
    <xf numFmtId="0" fontId="0" fillId="4" borderId="0" xfId="0" applyFill="1" applyBorder="1" applyAlignment="1">
      <alignment horizontal="right"/>
    </xf>
    <xf numFmtId="2" fontId="11" fillId="4" borderId="0" xfId="0" applyNumberFormat="1" applyFont="1" applyFill="1" applyBorder="1"/>
    <xf numFmtId="166" fontId="11" fillId="4" borderId="0" xfId="0" applyNumberFormat="1" applyFont="1" applyFill="1" applyBorder="1"/>
    <xf numFmtId="164" fontId="0" fillId="4" borderId="0" xfId="0" applyNumberFormat="1" applyFill="1" applyBorder="1"/>
    <xf numFmtId="0" fontId="4" fillId="4" borderId="0" xfId="0" applyFont="1" applyFill="1" applyBorder="1"/>
    <xf numFmtId="0" fontId="0" fillId="4" borderId="0" xfId="0" applyNumberFormat="1" applyFill="1" applyBorder="1"/>
    <xf numFmtId="0" fontId="4" fillId="4" borderId="0" xfId="0" applyNumberFormat="1" applyFont="1" applyFill="1" applyBorder="1"/>
    <xf numFmtId="9" fontId="0" fillId="4" borderId="0" xfId="0" applyNumberFormat="1" applyFill="1" applyBorder="1"/>
    <xf numFmtId="0" fontId="9" fillId="4" borderId="0" xfId="0" applyFont="1" applyFill="1" applyBorder="1"/>
    <xf numFmtId="164" fontId="9" fillId="4" borderId="0" xfId="0" applyNumberFormat="1" applyFont="1" applyFill="1" applyBorder="1" applyAlignment="1">
      <alignment horizontal="center"/>
    </xf>
    <xf numFmtId="166" fontId="0" fillId="4" borderId="0" xfId="0" applyNumberFormat="1" applyFill="1" applyBorder="1"/>
    <xf numFmtId="0" fontId="6" fillId="4" borderId="0" xfId="0" applyFont="1" applyFill="1" applyBorder="1" applyAlignment="1">
      <alignment horizontal="center"/>
    </xf>
    <xf numFmtId="164" fontId="6" fillId="4" borderId="0" xfId="0" applyNumberFormat="1" applyFont="1" applyFill="1" applyBorder="1" applyAlignment="1">
      <alignment horizontal="center"/>
    </xf>
    <xf numFmtId="0" fontId="6" fillId="4" borderId="0" xfId="0" applyNumberFormat="1" applyFont="1" applyFill="1" applyBorder="1" applyAlignment="1">
      <alignment horizontal="center"/>
    </xf>
    <xf numFmtId="0" fontId="6" fillId="4" borderId="0" xfId="0" applyFont="1" applyFill="1" applyBorder="1"/>
    <xf numFmtId="0" fontId="0" fillId="4" borderId="0" xfId="0" applyNumberFormat="1" applyFill="1"/>
    <xf numFmtId="49" fontId="4" fillId="4" borderId="0" xfId="0" applyNumberFormat="1" applyFont="1" applyFill="1" applyBorder="1"/>
    <xf numFmtId="0" fontId="5" fillId="4" borderId="0" xfId="0" applyFont="1" applyFill="1" applyBorder="1"/>
    <xf numFmtId="0" fontId="10" fillId="4" borderId="0" xfId="0" applyFont="1" applyFill="1" applyBorder="1"/>
    <xf numFmtId="0" fontId="6" fillId="5" borderId="7" xfId="0" applyFont="1" applyFill="1" applyBorder="1" applyAlignment="1"/>
    <xf numFmtId="0" fontId="6" fillId="5" borderId="8" xfId="0" applyFont="1" applyFill="1" applyBorder="1" applyAlignment="1">
      <alignment horizontal="centerContinuous"/>
    </xf>
    <xf numFmtId="0" fontId="0" fillId="5" borderId="9" xfId="0" applyFill="1" applyBorder="1"/>
    <xf numFmtId="0" fontId="4" fillId="5" borderId="1" xfId="0" applyFont="1" applyFill="1" applyBorder="1" applyAlignment="1">
      <alignment horizontal="center"/>
    </xf>
    <xf numFmtId="0" fontId="0" fillId="5" borderId="10" xfId="0" applyFill="1" applyBorder="1" applyAlignment="1">
      <alignment horizontal="right"/>
    </xf>
    <xf numFmtId="0" fontId="0" fillId="5" borderId="13" xfId="0" applyFill="1" applyBorder="1"/>
    <xf numFmtId="0" fontId="4" fillId="5" borderId="17" xfId="0" applyFont="1" applyFill="1" applyBorder="1" applyAlignment="1">
      <alignment horizontal="center"/>
    </xf>
    <xf numFmtId="0" fontId="0" fillId="5" borderId="14" xfId="0" applyFill="1" applyBorder="1"/>
    <xf numFmtId="0" fontId="0" fillId="5" borderId="0" xfId="0" applyFill="1" applyBorder="1"/>
    <xf numFmtId="0" fontId="0" fillId="5" borderId="18" xfId="0" applyFill="1" applyBorder="1" applyAlignment="1">
      <alignment horizontal="right"/>
    </xf>
    <xf numFmtId="0" fontId="0" fillId="5" borderId="11" xfId="0" applyFill="1" applyBorder="1"/>
    <xf numFmtId="0" fontId="0" fillId="5" borderId="16" xfId="0" applyFill="1" applyBorder="1"/>
    <xf numFmtId="0" fontId="1" fillId="5" borderId="1" xfId="0" applyFont="1" applyFill="1" applyBorder="1" applyAlignment="1">
      <alignment horizontal="center" vertical="center"/>
    </xf>
    <xf numFmtId="0" fontId="1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/>
    </xf>
    <xf numFmtId="0" fontId="14" fillId="5" borderId="1" xfId="0" applyNumberFormat="1" applyFont="1" applyFill="1" applyBorder="1" applyAlignment="1">
      <alignment horizontal="center"/>
    </xf>
    <xf numFmtId="164" fontId="4" fillId="5" borderId="1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2" borderId="17" xfId="0" applyNumberFormat="1" applyFill="1" applyBorder="1" applyAlignment="1" applyProtection="1">
      <alignment horizontal="center"/>
      <protection locked="0"/>
    </xf>
    <xf numFmtId="0" fontId="14" fillId="2" borderId="19" xfId="0" applyNumberFormat="1" applyFont="1" applyFill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/>
      <protection locked="0"/>
    </xf>
    <xf numFmtId="0" fontId="6" fillId="6" borderId="1" xfId="0" applyFont="1" applyFill="1" applyBorder="1"/>
    <xf numFmtId="0" fontId="6" fillId="6" borderId="1" xfId="0" applyFont="1" applyFill="1" applyBorder="1" applyAlignment="1">
      <alignment horizontal="center"/>
    </xf>
    <xf numFmtId="164" fontId="6" fillId="6" borderId="1" xfId="0" applyNumberFormat="1" applyFont="1" applyFill="1" applyBorder="1" applyAlignment="1">
      <alignment horizontal="center"/>
    </xf>
    <xf numFmtId="0" fontId="6" fillId="6" borderId="1" xfId="0" applyNumberFormat="1" applyFont="1" applyFill="1" applyBorder="1"/>
    <xf numFmtId="0" fontId="6" fillId="6" borderId="1" xfId="0" applyNumberFormat="1" applyFont="1" applyFill="1" applyBorder="1" applyAlignment="1">
      <alignment horizontal="center"/>
    </xf>
    <xf numFmtId="0" fontId="14" fillId="4" borderId="0" xfId="0" applyNumberFormat="1" applyFont="1" applyFill="1" applyBorder="1" applyAlignment="1">
      <alignment horizontal="center"/>
    </xf>
    <xf numFmtId="164" fontId="14" fillId="4" borderId="0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49" fontId="14" fillId="4" borderId="0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/>
    </xf>
    <xf numFmtId="2" fontId="2" fillId="4" borderId="0" xfId="0" applyNumberFormat="1" applyFont="1" applyFill="1" applyBorder="1" applyAlignment="1">
      <alignment horizontal="center"/>
    </xf>
    <xf numFmtId="1" fontId="2" fillId="4" borderId="0" xfId="0" applyNumberFormat="1" applyFont="1" applyFill="1" applyBorder="1" applyAlignment="1">
      <alignment horizontal="center"/>
    </xf>
    <xf numFmtId="165" fontId="3" fillId="4" borderId="0" xfId="0" applyNumberFormat="1" applyFont="1" applyFill="1" applyBorder="1" applyAlignment="1">
      <alignment horizontal="center"/>
    </xf>
    <xf numFmtId="0" fontId="1" fillId="4" borderId="0" xfId="0" applyFont="1" applyFill="1" applyBorder="1" applyAlignment="1">
      <alignment horizontal="left"/>
    </xf>
    <xf numFmtId="0" fontId="0" fillId="4" borderId="0" xfId="0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164" fontId="3" fillId="4" borderId="12" xfId="0" applyNumberFormat="1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164" fontId="3" fillId="4" borderId="20" xfId="0" applyNumberFormat="1" applyFont="1" applyFill="1" applyBorder="1" applyAlignment="1">
      <alignment horizontal="center"/>
    </xf>
    <xf numFmtId="164" fontId="3" fillId="4" borderId="21" xfId="0" applyNumberFormat="1" applyFont="1" applyFill="1" applyBorder="1" applyAlignment="1">
      <alignment horizontal="center"/>
    </xf>
    <xf numFmtId="164" fontId="3" fillId="4" borderId="22" xfId="0" applyNumberFormat="1" applyFont="1" applyFill="1" applyBorder="1" applyAlignment="1">
      <alignment horizontal="center"/>
    </xf>
    <xf numFmtId="0" fontId="14" fillId="4" borderId="21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 vertical="center"/>
    </xf>
    <xf numFmtId="2" fontId="2" fillId="4" borderId="21" xfId="0" applyNumberFormat="1" applyFont="1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/>
    </xf>
    <xf numFmtId="49" fontId="0" fillId="4" borderId="0" xfId="0" applyNumberFormat="1" applyFill="1" applyBorder="1" applyAlignment="1">
      <alignment horizontal="center"/>
    </xf>
    <xf numFmtId="2" fontId="12" fillId="4" borderId="0" xfId="0" applyNumberFormat="1" applyFont="1" applyFill="1" applyBorder="1" applyAlignment="1">
      <alignment horizontal="center"/>
    </xf>
    <xf numFmtId="0" fontId="0" fillId="4" borderId="11" xfId="0" applyFill="1" applyBorder="1"/>
    <xf numFmtId="0" fontId="8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14" fillId="2" borderId="17" xfId="0" applyNumberFormat="1" applyFont="1" applyFill="1" applyBorder="1" applyAlignment="1" applyProtection="1">
      <alignment horizontal="center"/>
      <protection locked="0"/>
    </xf>
    <xf numFmtId="0" fontId="0" fillId="2" borderId="19" xfId="0" applyNumberFormat="1" applyFill="1" applyBorder="1" applyAlignment="1" applyProtection="1">
      <alignment horizontal="center"/>
      <protection locked="0"/>
    </xf>
    <xf numFmtId="0" fontId="4" fillId="4" borderId="3" xfId="0" applyFont="1" applyFill="1" applyBorder="1" applyAlignment="1">
      <alignment vertical="center" wrapText="1"/>
    </xf>
    <xf numFmtId="0" fontId="4" fillId="4" borderId="0" xfId="0" applyFont="1" applyFill="1" applyAlignment="1">
      <alignment horizontal="left" vertical="center"/>
    </xf>
    <xf numFmtId="0" fontId="22" fillId="4" borderId="0" xfId="0" applyFont="1" applyFill="1" applyBorder="1" applyAlignment="1">
      <alignment horizontal="left"/>
    </xf>
    <xf numFmtId="165" fontId="14" fillId="4" borderId="0" xfId="0" applyNumberFormat="1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center" vertical="center"/>
    </xf>
    <xf numFmtId="165" fontId="14" fillId="4" borderId="3" xfId="0" applyNumberFormat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22" fillId="4" borderId="1" xfId="0" applyFont="1" applyFill="1" applyBorder="1" applyAlignment="1">
      <alignment horizontal="center"/>
    </xf>
    <xf numFmtId="164" fontId="2" fillId="4" borderId="21" xfId="0" applyNumberFormat="1" applyFont="1" applyFill="1" applyBorder="1" applyAlignment="1">
      <alignment horizontal="center"/>
    </xf>
    <xf numFmtId="164" fontId="2" fillId="4" borderId="22" xfId="0" applyNumberFormat="1" applyFont="1" applyFill="1" applyBorder="1" applyAlignment="1">
      <alignment horizontal="center"/>
    </xf>
    <xf numFmtId="164" fontId="0" fillId="4" borderId="21" xfId="0" applyNumberFormat="1" applyFill="1" applyBorder="1" applyAlignment="1">
      <alignment horizontal="center"/>
    </xf>
    <xf numFmtId="164" fontId="0" fillId="4" borderId="22" xfId="0" applyNumberFormat="1" applyFill="1" applyBorder="1" applyAlignment="1">
      <alignment horizontal="center"/>
    </xf>
    <xf numFmtId="164" fontId="14" fillId="4" borderId="20" xfId="0" applyNumberFormat="1" applyFont="1" applyFill="1" applyBorder="1" applyAlignment="1">
      <alignment horizontal="center"/>
    </xf>
    <xf numFmtId="164" fontId="14" fillId="4" borderId="21" xfId="0" applyNumberFormat="1" applyFont="1" applyFill="1" applyBorder="1" applyAlignment="1">
      <alignment horizontal="center"/>
    </xf>
    <xf numFmtId="0" fontId="14" fillId="4" borderId="21" xfId="0" applyFont="1" applyFill="1" applyBorder="1" applyAlignment="1">
      <alignment horizontal="center" vertical="center"/>
    </xf>
    <xf numFmtId="1" fontId="14" fillId="4" borderId="21" xfId="0" applyNumberFormat="1" applyFont="1" applyFill="1" applyBorder="1" applyAlignment="1">
      <alignment horizontal="center"/>
    </xf>
    <xf numFmtId="1" fontId="14" fillId="4" borderId="22" xfId="0" applyNumberFormat="1" applyFont="1" applyFill="1" applyBorder="1" applyAlignment="1">
      <alignment horizontal="center"/>
    </xf>
    <xf numFmtId="0" fontId="14" fillId="4" borderId="20" xfId="0" applyFont="1" applyFill="1" applyBorder="1" applyAlignment="1">
      <alignment horizontal="center"/>
    </xf>
    <xf numFmtId="0" fontId="14" fillId="4" borderId="21" xfId="0" applyFont="1" applyFill="1" applyBorder="1" applyAlignment="1">
      <alignment horizontal="center" vertical="center" wrapText="1"/>
    </xf>
    <xf numFmtId="164" fontId="14" fillId="4" borderId="22" xfId="0" applyNumberFormat="1" applyFont="1" applyFill="1" applyBorder="1" applyAlignment="1">
      <alignment horizontal="center"/>
    </xf>
    <xf numFmtId="49" fontId="7" fillId="4" borderId="0" xfId="0" applyNumberFormat="1" applyFont="1" applyFill="1" applyBorder="1" applyAlignment="1">
      <alignment horizontal="centerContinuous"/>
    </xf>
    <xf numFmtId="49" fontId="0" fillId="4" borderId="0" xfId="0" applyNumberFormat="1" applyFill="1" applyAlignment="1">
      <alignment horizontal="center"/>
    </xf>
    <xf numFmtId="2" fontId="12" fillId="4" borderId="0" xfId="0" applyNumberFormat="1" applyFont="1" applyFill="1" applyAlignment="1">
      <alignment horizontal="center"/>
    </xf>
    <xf numFmtId="0" fontId="4" fillId="4" borderId="0" xfId="0" applyFont="1" applyFill="1" applyBorder="1" applyAlignment="1">
      <alignment horizontal="left"/>
    </xf>
    <xf numFmtId="0" fontId="0" fillId="4" borderId="0" xfId="0" applyFill="1" applyAlignment="1">
      <alignment horizontal="right"/>
    </xf>
    <xf numFmtId="49" fontId="0" fillId="4" borderId="0" xfId="0" applyNumberFormat="1" applyFill="1"/>
    <xf numFmtId="9" fontId="0" fillId="4" borderId="0" xfId="0" applyNumberFormat="1" applyFill="1"/>
    <xf numFmtId="0" fontId="4" fillId="4" borderId="0" xfId="0" applyNumberFormat="1" applyFont="1" applyFill="1"/>
    <xf numFmtId="0" fontId="0" fillId="4" borderId="0" xfId="0" applyFill="1" applyProtection="1"/>
    <xf numFmtId="1" fontId="5" fillId="4" borderId="0" xfId="0" applyNumberFormat="1" applyFont="1" applyFill="1" applyBorder="1"/>
    <xf numFmtId="0" fontId="5" fillId="4" borderId="0" xfId="0" applyFont="1" applyFill="1"/>
    <xf numFmtId="0" fontId="10" fillId="4" borderId="0" xfId="0" applyFont="1" applyFill="1"/>
    <xf numFmtId="9" fontId="14" fillId="5" borderId="1" xfId="0" applyNumberFormat="1" applyFont="1" applyFill="1" applyBorder="1" applyAlignment="1">
      <alignment horizontal="center"/>
    </xf>
    <xf numFmtId="164" fontId="4" fillId="6" borderId="1" xfId="0" applyNumberFormat="1" applyFont="1" applyFill="1" applyBorder="1" applyAlignment="1">
      <alignment horizontal="center"/>
    </xf>
    <xf numFmtId="2" fontId="14" fillId="4" borderId="3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2" fontId="14" fillId="4" borderId="0" xfId="0" applyNumberFormat="1" applyFont="1" applyFill="1" applyBorder="1" applyAlignment="1">
      <alignment horizontal="center"/>
    </xf>
    <xf numFmtId="165" fontId="23" fillId="4" borderId="0" xfId="0" applyNumberFormat="1" applyFont="1" applyFill="1" applyBorder="1" applyAlignment="1">
      <alignment horizontal="center"/>
    </xf>
    <xf numFmtId="9" fontId="14" fillId="4" borderId="21" xfId="2" applyFont="1" applyFill="1" applyBorder="1" applyAlignment="1">
      <alignment horizontal="center"/>
    </xf>
    <xf numFmtId="9" fontId="14" fillId="4" borderId="22" xfId="2" applyFont="1" applyFill="1" applyBorder="1" applyAlignment="1">
      <alignment horizontal="center"/>
    </xf>
    <xf numFmtId="2" fontId="14" fillId="4" borderId="21" xfId="0" applyNumberFormat="1" applyFont="1" applyFill="1" applyBorder="1" applyAlignment="1">
      <alignment horizontal="center"/>
    </xf>
    <xf numFmtId="2" fontId="14" fillId="4" borderId="22" xfId="0" applyNumberFormat="1" applyFont="1" applyFill="1" applyBorder="1" applyAlignment="1">
      <alignment horizontal="center"/>
    </xf>
    <xf numFmtId="0" fontId="2" fillId="4" borderId="0" xfId="0" applyFont="1" applyFill="1"/>
    <xf numFmtId="0" fontId="16" fillId="4" borderId="0" xfId="0" applyFont="1" applyFill="1"/>
    <xf numFmtId="0" fontId="4" fillId="4" borderId="1" xfId="0" applyFont="1" applyFill="1" applyBorder="1"/>
    <xf numFmtId="0" fontId="2" fillId="4" borderId="0" xfId="0" applyFont="1" applyFill="1" applyAlignment="1">
      <alignment horizontal="center"/>
    </xf>
    <xf numFmtId="0" fontId="2" fillId="4" borderId="1" xfId="0" applyFont="1" applyFill="1" applyBorder="1"/>
    <xf numFmtId="0" fontId="18" fillId="4" borderId="0" xfId="1" applyFont="1" applyFill="1" applyAlignment="1" applyProtection="1"/>
    <xf numFmtId="0" fontId="4" fillId="5" borderId="4" xfId="0" applyFont="1" applyFill="1" applyBorder="1"/>
    <xf numFmtId="0" fontId="4" fillId="5" borderId="12" xfId="0" applyFont="1" applyFill="1" applyBorder="1"/>
    <xf numFmtId="0" fontId="4" fillId="5" borderId="5" xfId="0" applyFont="1" applyFill="1" applyBorder="1"/>
    <xf numFmtId="0" fontId="4" fillId="5" borderId="2" xfId="0" applyFont="1" applyFill="1" applyBorder="1"/>
    <xf numFmtId="0" fontId="4" fillId="5" borderId="3" xfId="0" applyFont="1" applyFill="1" applyBorder="1"/>
    <xf numFmtId="0" fontId="4" fillId="5" borderId="6" xfId="0" applyFont="1" applyFill="1" applyBorder="1" applyAlignment="1">
      <alignment horizontal="center"/>
    </xf>
    <xf numFmtId="0" fontId="22" fillId="4" borderId="23" xfId="0" applyFont="1" applyFill="1" applyBorder="1" applyAlignment="1">
      <alignment horizontal="center"/>
    </xf>
    <xf numFmtId="0" fontId="22" fillId="4" borderId="24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left"/>
    </xf>
    <xf numFmtId="0" fontId="1" fillId="6" borderId="12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164" fontId="1" fillId="6" borderId="2" xfId="0" applyNumberFormat="1" applyFont="1" applyFill="1" applyBorder="1" applyAlignment="1">
      <alignment horizontal="left"/>
    </xf>
    <xf numFmtId="164" fontId="1" fillId="6" borderId="3" xfId="0" applyNumberFormat="1" applyFont="1" applyFill="1" applyBorder="1" applyAlignment="1">
      <alignment horizontal="center"/>
    </xf>
    <xf numFmtId="164" fontId="1" fillId="6" borderId="6" xfId="0" applyNumberFormat="1" applyFont="1" applyFill="1" applyBorder="1" applyAlignment="1">
      <alignment horizontal="center"/>
    </xf>
    <xf numFmtId="0" fontId="25" fillId="5" borderId="0" xfId="0" applyFont="1" applyFill="1"/>
    <xf numFmtId="0" fontId="0" fillId="5" borderId="0" xfId="0" applyFill="1"/>
    <xf numFmtId="0" fontId="26" fillId="4" borderId="0" xfId="0" applyFont="1" applyFill="1"/>
    <xf numFmtId="0" fontId="27" fillId="5" borderId="0" xfId="0" applyFont="1" applyFill="1"/>
    <xf numFmtId="0" fontId="26" fillId="5" borderId="0" xfId="0" applyFont="1" applyFill="1"/>
    <xf numFmtId="0" fontId="0" fillId="4" borderId="20" xfId="0" applyFill="1" applyBorder="1" applyAlignment="1">
      <alignment horizontal="center"/>
    </xf>
    <xf numFmtId="0" fontId="15" fillId="4" borderId="0" xfId="0" applyFont="1" applyFill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6" xfId="0" applyFont="1" applyFill="1" applyBorder="1" applyAlignment="1">
      <alignment horizontal="center"/>
    </xf>
    <xf numFmtId="0" fontId="24" fillId="4" borderId="0" xfId="0" applyFont="1" applyFill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21" fillId="4" borderId="0" xfId="0" applyFont="1" applyFill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2" fillId="4" borderId="0" xfId="0" quotePrefix="1" applyFont="1" applyFill="1"/>
    <xf numFmtId="0" fontId="17" fillId="4" borderId="0" xfId="1" applyFill="1" applyAlignment="1" applyProtection="1"/>
  </cellXfs>
  <cellStyles count="3">
    <cellStyle name="Lien hypertexte" xfId="1" builtinId="8"/>
    <cellStyle name="Normal" xfId="0" builtinId="0"/>
    <cellStyle name="Pourcentag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200"/>
              <a:t>Graphique des effets moyens</a:t>
            </a:r>
          </a:p>
        </c:rich>
      </c:tx>
      <c:layout>
        <c:manualLayout>
          <c:xMode val="edge"/>
          <c:yMode val="edge"/>
          <c:x val="0.30036232406903263"/>
          <c:y val="3.988623408817908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473493510429449"/>
          <c:y val="0.23745662902985218"/>
          <c:w val="0.79438258691895647"/>
          <c:h val="0.52483737912875428"/>
        </c:manualLayout>
      </c:layout>
      <c:lineChart>
        <c:grouping val="standard"/>
        <c:ser>
          <c:idx val="0"/>
          <c:order val="0"/>
          <c:tx>
            <c:strRef>
              <c:f>'432'!$L$10</c:f>
              <c:strCache>
                <c:ptCount val="1"/>
                <c:pt idx="0">
                  <c:v>Facteurs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'432'!$M$8:$W$9</c:f>
              <c:multiLvlStrCache>
                <c:ptCount val="11"/>
                <c:lvl>
                  <c:pt idx="0">
                    <c:v>Temp.</c:v>
                  </c:pt>
                  <c:pt idx="1">
                    <c:v>Temp.</c:v>
                  </c:pt>
                  <c:pt idx="2">
                    <c:v>Temp.</c:v>
                  </c:pt>
                  <c:pt idx="3">
                    <c:v>Temp.</c:v>
                  </c:pt>
                  <c:pt idx="5">
                    <c:v>Moût</c:v>
                  </c:pt>
                  <c:pt idx="6">
                    <c:v>Moût</c:v>
                  </c:pt>
                  <c:pt idx="7">
                    <c:v>Moût</c:v>
                  </c:pt>
                  <c:pt idx="9">
                    <c:v>Durée</c:v>
                  </c:pt>
                  <c:pt idx="10">
                    <c:v>Durée</c:v>
                  </c:pt>
                </c:lvl>
                <c:lvl>
                  <c:pt idx="0">
                    <c:v>10°C</c:v>
                  </c:pt>
                  <c:pt idx="1">
                    <c:v>20°C</c:v>
                  </c:pt>
                  <c:pt idx="2">
                    <c:v>30°C</c:v>
                  </c:pt>
                  <c:pt idx="3">
                    <c:v>40°C</c:v>
                  </c:pt>
                  <c:pt idx="4">
                    <c:v>  </c:v>
                  </c:pt>
                  <c:pt idx="5">
                    <c:v>10%</c:v>
                  </c:pt>
                  <c:pt idx="6">
                    <c:v>30%</c:v>
                  </c:pt>
                  <c:pt idx="7">
                    <c:v>50%</c:v>
                  </c:pt>
                  <c:pt idx="8">
                    <c:v> </c:v>
                  </c:pt>
                  <c:pt idx="9">
                    <c:v>1 h.</c:v>
                  </c:pt>
                  <c:pt idx="10">
                    <c:v>3 h.</c:v>
                  </c:pt>
                </c:lvl>
              </c:multiLvlStrCache>
            </c:multiLvlStrRef>
          </c:cat>
          <c:val>
            <c:numRef>
              <c:f>'432'!$M$10:$W$10</c:f>
              <c:numCache>
                <c:formatCode>0.00</c:formatCode>
                <c:ptCount val="11"/>
                <c:pt idx="0">
                  <c:v>199.33333333333337</c:v>
                </c:pt>
                <c:pt idx="1">
                  <c:v>541.25</c:v>
                </c:pt>
                <c:pt idx="2">
                  <c:v>931.25</c:v>
                </c:pt>
                <c:pt idx="3">
                  <c:v>1166.1666666666667</c:v>
                </c:pt>
                <c:pt idx="5">
                  <c:v>642.3125</c:v>
                </c:pt>
                <c:pt idx="6">
                  <c:v>619.9375</c:v>
                </c:pt>
                <c:pt idx="7">
                  <c:v>866.25</c:v>
                </c:pt>
                <c:pt idx="9">
                  <c:v>624.83333333333337</c:v>
                </c:pt>
                <c:pt idx="10">
                  <c:v>794.16666666666663</c:v>
                </c:pt>
              </c:numCache>
            </c:numRef>
          </c:val>
        </c:ser>
        <c:ser>
          <c:idx val="1"/>
          <c:order val="1"/>
          <c:tx>
            <c:strRef>
              <c:f>'432'!$L$11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none"/>
          </c:marker>
          <c:cat>
            <c:multiLvlStrRef>
              <c:f>'432'!$M$8:$W$9</c:f>
              <c:multiLvlStrCache>
                <c:ptCount val="11"/>
                <c:lvl>
                  <c:pt idx="0">
                    <c:v>Temp.</c:v>
                  </c:pt>
                  <c:pt idx="1">
                    <c:v>Temp.</c:v>
                  </c:pt>
                  <c:pt idx="2">
                    <c:v>Temp.</c:v>
                  </c:pt>
                  <c:pt idx="3">
                    <c:v>Temp.</c:v>
                  </c:pt>
                  <c:pt idx="5">
                    <c:v>Moût</c:v>
                  </c:pt>
                  <c:pt idx="6">
                    <c:v>Moût</c:v>
                  </c:pt>
                  <c:pt idx="7">
                    <c:v>Moût</c:v>
                  </c:pt>
                  <c:pt idx="9">
                    <c:v>Durée</c:v>
                  </c:pt>
                  <c:pt idx="10">
                    <c:v>Durée</c:v>
                  </c:pt>
                </c:lvl>
                <c:lvl>
                  <c:pt idx="0">
                    <c:v>10°C</c:v>
                  </c:pt>
                  <c:pt idx="1">
                    <c:v>20°C</c:v>
                  </c:pt>
                  <c:pt idx="2">
                    <c:v>30°C</c:v>
                  </c:pt>
                  <c:pt idx="3">
                    <c:v>40°C</c:v>
                  </c:pt>
                  <c:pt idx="4">
                    <c:v>  </c:v>
                  </c:pt>
                  <c:pt idx="5">
                    <c:v>10%</c:v>
                  </c:pt>
                  <c:pt idx="6">
                    <c:v>30%</c:v>
                  </c:pt>
                  <c:pt idx="7">
                    <c:v>50%</c:v>
                  </c:pt>
                  <c:pt idx="8">
                    <c:v> </c:v>
                  </c:pt>
                  <c:pt idx="9">
                    <c:v>1 h.</c:v>
                  </c:pt>
                  <c:pt idx="10">
                    <c:v>3 h.</c:v>
                  </c:pt>
                </c:lvl>
              </c:multiLvlStrCache>
            </c:multiLvlStrRef>
          </c:cat>
          <c:val>
            <c:numRef>
              <c:f>'432'!$M$11:$W$11</c:f>
              <c:numCache>
                <c:formatCode>0.00</c:formatCode>
                <c:ptCount val="11"/>
                <c:pt idx="0">
                  <c:v>709.5</c:v>
                </c:pt>
                <c:pt idx="1">
                  <c:v>709.5</c:v>
                </c:pt>
                <c:pt idx="2">
                  <c:v>709.5</c:v>
                </c:pt>
                <c:pt idx="3">
                  <c:v>709.5</c:v>
                </c:pt>
                <c:pt idx="4">
                  <c:v>709.5</c:v>
                </c:pt>
                <c:pt idx="5">
                  <c:v>709.5</c:v>
                </c:pt>
                <c:pt idx="6">
                  <c:v>709.5</c:v>
                </c:pt>
                <c:pt idx="7">
                  <c:v>709.5</c:v>
                </c:pt>
                <c:pt idx="8">
                  <c:v>709.5</c:v>
                </c:pt>
                <c:pt idx="9">
                  <c:v>709.5</c:v>
                </c:pt>
                <c:pt idx="10">
                  <c:v>709.5</c:v>
                </c:pt>
              </c:numCache>
            </c:numRef>
          </c:val>
        </c:ser>
        <c:marker val="1"/>
        <c:axId val="153497984"/>
        <c:axId val="153499520"/>
      </c:lineChart>
      <c:catAx>
        <c:axId val="1534979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3499520"/>
        <c:crosses val="autoZero"/>
        <c:auto val="1"/>
        <c:lblAlgn val="ctr"/>
        <c:lblOffset val="100"/>
        <c:tickLblSkip val="1"/>
        <c:tickMarkSkip val="1"/>
      </c:catAx>
      <c:valAx>
        <c:axId val="1534995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000" b="1"/>
                  <a:t>Réponses</a:t>
                </a:r>
              </a:p>
            </c:rich>
          </c:tx>
          <c:layout/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349798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4439206671871969"/>
          <c:y val="6.7584780113234724E-2"/>
          <c:w val="0.13872155529292649"/>
          <c:h val="0.122507718985121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400"/>
              <a:t>Interaction CD</a:t>
            </a:r>
          </a:p>
        </c:rich>
      </c:tx>
      <c:layout>
        <c:manualLayout>
          <c:xMode val="edge"/>
          <c:yMode val="edge"/>
          <c:x val="0.38394012698387486"/>
          <c:y val="3.51288156631979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722878146266918"/>
          <c:y val="0.15378610460577674"/>
          <c:w val="0.53446336804280437"/>
          <c:h val="0.67213114754098469"/>
        </c:manualLayout>
      </c:layout>
      <c:lineChart>
        <c:grouping val="standard"/>
        <c:ser>
          <c:idx val="0"/>
          <c:order val="0"/>
          <c:tx>
            <c:strRef>
              <c:f>'4322'!$N$68:$O$68</c:f>
              <c:strCache>
                <c:ptCount val="1"/>
                <c:pt idx="0">
                  <c:v>Non Oxyg.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'4322'!$P$66:$Q$67</c:f>
              <c:multiLvlStrCache>
                <c:ptCount val="2"/>
                <c:lvl>
                  <c:pt idx="0">
                    <c:v>1 h.</c:v>
                  </c:pt>
                  <c:pt idx="1">
                    <c:v>3 h.</c:v>
                  </c:pt>
                </c:lvl>
                <c:lvl>
                  <c:pt idx="0">
                    <c:v>Durée</c:v>
                  </c:pt>
                  <c:pt idx="1">
                    <c:v>Durée</c:v>
                  </c:pt>
                </c:lvl>
              </c:multiLvlStrCache>
            </c:multiLvlStrRef>
          </c:cat>
          <c:val>
            <c:numRef>
              <c:f>'4322'!$P$68:$Q$68</c:f>
              <c:numCache>
                <c:formatCode>General</c:formatCode>
                <c:ptCount val="2"/>
                <c:pt idx="0">
                  <c:v>624</c:v>
                </c:pt>
                <c:pt idx="1">
                  <c:v>761.875</c:v>
                </c:pt>
              </c:numCache>
            </c:numRef>
          </c:val>
        </c:ser>
        <c:ser>
          <c:idx val="1"/>
          <c:order val="1"/>
          <c:tx>
            <c:strRef>
              <c:f>'4322'!$N$69:$O$69</c:f>
              <c:strCache>
                <c:ptCount val="1"/>
                <c:pt idx="0">
                  <c:v>Oui Oxyg.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'4322'!$P$66:$Q$67</c:f>
              <c:multiLvlStrCache>
                <c:ptCount val="2"/>
                <c:lvl>
                  <c:pt idx="0">
                    <c:v>1 h.</c:v>
                  </c:pt>
                  <c:pt idx="1">
                    <c:v>3 h.</c:v>
                  </c:pt>
                </c:lvl>
                <c:lvl>
                  <c:pt idx="0">
                    <c:v>Durée</c:v>
                  </c:pt>
                  <c:pt idx="1">
                    <c:v>Durée</c:v>
                  </c:pt>
                </c:lvl>
              </c:multiLvlStrCache>
            </c:multiLvlStrRef>
          </c:cat>
          <c:val>
            <c:numRef>
              <c:f>'4322'!$P$69:$Q$69</c:f>
              <c:numCache>
                <c:formatCode>General</c:formatCode>
                <c:ptCount val="2"/>
                <c:pt idx="0">
                  <c:v>735.41666666666663</c:v>
                </c:pt>
                <c:pt idx="1">
                  <c:v>794.16666666666663</c:v>
                </c:pt>
              </c:numCache>
            </c:numRef>
          </c:val>
        </c:ser>
        <c:marker val="1"/>
        <c:axId val="154596480"/>
        <c:axId val="154598400"/>
      </c:lineChart>
      <c:catAx>
        <c:axId val="154596480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4598400"/>
        <c:crosses val="autoZero"/>
        <c:auto val="1"/>
        <c:lblAlgn val="ctr"/>
        <c:lblOffset val="100"/>
        <c:tickLblSkip val="1"/>
        <c:tickMarkSkip val="1"/>
      </c:catAx>
      <c:valAx>
        <c:axId val="154598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/>
                  <a:t>Réponses</a:t>
                </a:r>
              </a:p>
            </c:rich>
          </c:tx>
          <c:layout>
            <c:manualLayout>
              <c:xMode val="edge"/>
              <c:yMode val="edge"/>
              <c:x val="2.3839419649325573E-2"/>
              <c:y val="0.4004684985604567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45964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78026736783664"/>
          <c:y val="0.37482382925573693"/>
          <c:w val="0.24467361238732074"/>
          <c:h val="0.149766309058419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 paperSize="9" orientation="landscape" horizontalDpi="360" verticalDpi="36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200"/>
              <a:t>Interactions avec A</a:t>
            </a:r>
          </a:p>
        </c:rich>
      </c:tx>
      <c:layout>
        <c:manualLayout>
          <c:xMode val="edge"/>
          <c:yMode val="edge"/>
          <c:x val="0.37700865265760264"/>
          <c:y val="3.83632192635310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35970333745355"/>
          <c:y val="0.15107279923874517"/>
          <c:w val="0.71446229913473358"/>
          <c:h val="0.5859681521803014"/>
        </c:manualLayout>
      </c:layout>
      <c:lineChart>
        <c:grouping val="standard"/>
        <c:ser>
          <c:idx val="0"/>
          <c:order val="0"/>
          <c:tx>
            <c:strRef>
              <c:f>'432'!$O$25:$O$26</c:f>
              <c:strCache>
                <c:ptCount val="1"/>
                <c:pt idx="0">
                  <c:v>Temp. 10°C</c:v>
                </c:pt>
              </c:strCache>
            </c:strRef>
          </c:tx>
          <c:spPr>
            <a:ln w="25400">
              <a:solidFill>
                <a:srgbClr val="000080"/>
              </a:solidFill>
              <a:prstDash val="lgDashDot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'432'!$M$27:$N$32</c:f>
              <c:multiLvlStrCache>
                <c:ptCount val="6"/>
                <c:lvl>
                  <c:pt idx="0">
                    <c:v>Moût</c:v>
                  </c:pt>
                  <c:pt idx="1">
                    <c:v>Moût</c:v>
                  </c:pt>
                  <c:pt idx="2">
                    <c:v>Moût</c:v>
                  </c:pt>
                  <c:pt idx="4">
                    <c:v>Durée</c:v>
                  </c:pt>
                  <c:pt idx="5">
                    <c:v>Durée</c:v>
                  </c:pt>
                </c:lvl>
                <c:lvl>
                  <c:pt idx="0">
                    <c:v>10%</c:v>
                  </c:pt>
                  <c:pt idx="1">
                    <c:v>30%</c:v>
                  </c:pt>
                  <c:pt idx="2">
                    <c:v>50%</c:v>
                  </c:pt>
                  <c:pt idx="3">
                    <c:v> </c:v>
                  </c:pt>
                  <c:pt idx="4">
                    <c:v>1 h.</c:v>
                  </c:pt>
                  <c:pt idx="5">
                    <c:v>3 h.</c:v>
                  </c:pt>
                </c:lvl>
              </c:multiLvlStrCache>
            </c:multiLvlStrRef>
          </c:cat>
          <c:val>
            <c:numRef>
              <c:f>'432'!$O$27:$O$32</c:f>
              <c:numCache>
                <c:formatCode>@</c:formatCode>
                <c:ptCount val="6"/>
                <c:pt idx="0">
                  <c:v>165.5</c:v>
                </c:pt>
                <c:pt idx="1">
                  <c:v>151.25</c:v>
                </c:pt>
                <c:pt idx="2">
                  <c:v>281.25</c:v>
                </c:pt>
                <c:pt idx="4">
                  <c:v>162</c:v>
                </c:pt>
                <c:pt idx="5">
                  <c:v>236.66666666666666</c:v>
                </c:pt>
              </c:numCache>
            </c:numRef>
          </c:val>
        </c:ser>
        <c:ser>
          <c:idx val="1"/>
          <c:order val="1"/>
          <c:tx>
            <c:strRef>
              <c:f>'432'!$P$25:$P$26</c:f>
              <c:strCache>
                <c:ptCount val="1"/>
                <c:pt idx="0">
                  <c:v>Temp. 20°C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"/>
            </a:ln>
          </c:spPr>
          <c:marker>
            <c:symbol val="square"/>
            <c:size val="7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'432'!$M$27:$N$32</c:f>
              <c:multiLvlStrCache>
                <c:ptCount val="6"/>
                <c:lvl>
                  <c:pt idx="0">
                    <c:v>Moût</c:v>
                  </c:pt>
                  <c:pt idx="1">
                    <c:v>Moût</c:v>
                  </c:pt>
                  <c:pt idx="2">
                    <c:v>Moût</c:v>
                  </c:pt>
                  <c:pt idx="4">
                    <c:v>Durée</c:v>
                  </c:pt>
                  <c:pt idx="5">
                    <c:v>Durée</c:v>
                  </c:pt>
                </c:lvl>
                <c:lvl>
                  <c:pt idx="0">
                    <c:v>10%</c:v>
                  </c:pt>
                  <c:pt idx="1">
                    <c:v>30%</c:v>
                  </c:pt>
                  <c:pt idx="2">
                    <c:v>50%</c:v>
                  </c:pt>
                  <c:pt idx="3">
                    <c:v> </c:v>
                  </c:pt>
                  <c:pt idx="4">
                    <c:v>1 h.</c:v>
                  </c:pt>
                  <c:pt idx="5">
                    <c:v>3 h.</c:v>
                  </c:pt>
                </c:lvl>
              </c:multiLvlStrCache>
            </c:multiLvlStrRef>
          </c:cat>
          <c:val>
            <c:numRef>
              <c:f>'432'!$P$27:$P$32</c:f>
              <c:numCache>
                <c:formatCode>@</c:formatCode>
                <c:ptCount val="6"/>
                <c:pt idx="0">
                  <c:v>411.25</c:v>
                </c:pt>
                <c:pt idx="1">
                  <c:v>541.25</c:v>
                </c:pt>
                <c:pt idx="2">
                  <c:v>671.25</c:v>
                </c:pt>
                <c:pt idx="4">
                  <c:v>492.5</c:v>
                </c:pt>
                <c:pt idx="5">
                  <c:v>590</c:v>
                </c:pt>
              </c:numCache>
            </c:numRef>
          </c:val>
        </c:ser>
        <c:ser>
          <c:idx val="2"/>
          <c:order val="2"/>
          <c:tx>
            <c:strRef>
              <c:f>'432'!$Q$25:$Q$26</c:f>
              <c:strCache>
                <c:ptCount val="1"/>
                <c:pt idx="0">
                  <c:v>Temp. 30°C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ysDash"/>
            </a:ln>
          </c:spPr>
          <c:marker>
            <c:symbol val="triangl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multiLvlStrRef>
              <c:f>'432'!$M$27:$N$32</c:f>
              <c:multiLvlStrCache>
                <c:ptCount val="6"/>
                <c:lvl>
                  <c:pt idx="0">
                    <c:v>Moût</c:v>
                  </c:pt>
                  <c:pt idx="1">
                    <c:v>Moût</c:v>
                  </c:pt>
                  <c:pt idx="2">
                    <c:v>Moût</c:v>
                  </c:pt>
                  <c:pt idx="4">
                    <c:v>Durée</c:v>
                  </c:pt>
                  <c:pt idx="5">
                    <c:v>Durée</c:v>
                  </c:pt>
                </c:lvl>
                <c:lvl>
                  <c:pt idx="0">
                    <c:v>10%</c:v>
                  </c:pt>
                  <c:pt idx="1">
                    <c:v>30%</c:v>
                  </c:pt>
                  <c:pt idx="2">
                    <c:v>50%</c:v>
                  </c:pt>
                  <c:pt idx="3">
                    <c:v> </c:v>
                  </c:pt>
                  <c:pt idx="4">
                    <c:v>1 h.</c:v>
                  </c:pt>
                  <c:pt idx="5">
                    <c:v>3 h.</c:v>
                  </c:pt>
                </c:lvl>
              </c:multiLvlStrCache>
            </c:multiLvlStrRef>
          </c:cat>
          <c:val>
            <c:numRef>
              <c:f>'432'!$Q$27:$Q$32</c:f>
              <c:numCache>
                <c:formatCode>@</c:formatCode>
                <c:ptCount val="6"/>
                <c:pt idx="0">
                  <c:v>801.25</c:v>
                </c:pt>
                <c:pt idx="1">
                  <c:v>931.25</c:v>
                </c:pt>
                <c:pt idx="2">
                  <c:v>1061.25</c:v>
                </c:pt>
                <c:pt idx="4">
                  <c:v>882.5</c:v>
                </c:pt>
                <c:pt idx="5">
                  <c:v>980</c:v>
                </c:pt>
              </c:numCache>
            </c:numRef>
          </c:val>
        </c:ser>
        <c:ser>
          <c:idx val="3"/>
          <c:order val="3"/>
          <c:tx>
            <c:strRef>
              <c:f>'432'!$R$25:$R$26</c:f>
              <c:strCache>
                <c:ptCount val="1"/>
                <c:pt idx="0">
                  <c:v>Temp. 40°C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'432'!$M$27:$N$32</c:f>
              <c:multiLvlStrCache>
                <c:ptCount val="6"/>
                <c:lvl>
                  <c:pt idx="0">
                    <c:v>Moût</c:v>
                  </c:pt>
                  <c:pt idx="1">
                    <c:v>Moût</c:v>
                  </c:pt>
                  <c:pt idx="2">
                    <c:v>Moût</c:v>
                  </c:pt>
                  <c:pt idx="4">
                    <c:v>Durée</c:v>
                  </c:pt>
                  <c:pt idx="5">
                    <c:v>Durée</c:v>
                  </c:pt>
                </c:lvl>
                <c:lvl>
                  <c:pt idx="0">
                    <c:v>10%</c:v>
                  </c:pt>
                  <c:pt idx="1">
                    <c:v>30%</c:v>
                  </c:pt>
                  <c:pt idx="2">
                    <c:v>50%</c:v>
                  </c:pt>
                  <c:pt idx="3">
                    <c:v> </c:v>
                  </c:pt>
                  <c:pt idx="4">
                    <c:v>1 h.</c:v>
                  </c:pt>
                  <c:pt idx="5">
                    <c:v>3 h.</c:v>
                  </c:pt>
                </c:lvl>
              </c:multiLvlStrCache>
            </c:multiLvlStrRef>
          </c:cat>
          <c:val>
            <c:numRef>
              <c:f>'432'!$R$27:$R$32</c:f>
              <c:numCache>
                <c:formatCode>@</c:formatCode>
                <c:ptCount val="6"/>
                <c:pt idx="0">
                  <c:v>1191.25</c:v>
                </c:pt>
                <c:pt idx="1">
                  <c:v>856</c:v>
                </c:pt>
                <c:pt idx="2">
                  <c:v>1451.25</c:v>
                </c:pt>
                <c:pt idx="4">
                  <c:v>962.33333333333337</c:v>
                </c:pt>
                <c:pt idx="5">
                  <c:v>1370</c:v>
                </c:pt>
              </c:numCache>
            </c:numRef>
          </c:val>
        </c:ser>
        <c:marker val="1"/>
        <c:axId val="154394624"/>
        <c:axId val="154396544"/>
      </c:lineChart>
      <c:catAx>
        <c:axId val="154394624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4396544"/>
        <c:crosses val="autoZero"/>
        <c:auto val="1"/>
        <c:lblAlgn val="ctr"/>
        <c:lblOffset val="100"/>
        <c:tickLblSkip val="1"/>
        <c:tickMarkSkip val="1"/>
      </c:catAx>
      <c:valAx>
        <c:axId val="154396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/>
                  <a:t>Réponses</a:t>
                </a:r>
              </a:p>
            </c:rich>
          </c:tx>
          <c:layout>
            <c:manualLayout>
              <c:xMode val="edge"/>
              <c:yMode val="edge"/>
              <c:x val="1.521686370648194E-2"/>
              <c:y val="0.37243018863892552"/>
            </c:manualLayout>
          </c:layout>
          <c:spPr>
            <a:noFill/>
            <a:ln w="25400">
              <a:noFill/>
            </a:ln>
          </c:spPr>
        </c:title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43946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189122373300484"/>
          <c:y val="0.34526897337178042"/>
          <c:w val="0.15574783683560001"/>
          <c:h val="0.21739157582667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200"/>
              <a:t>Interaction B x C</a:t>
            </a:r>
          </a:p>
        </c:rich>
      </c:tx>
      <c:layout>
        <c:manualLayout>
          <c:xMode val="edge"/>
          <c:yMode val="edge"/>
          <c:x val="0.37205962501355383"/>
          <c:y val="3.73333576389048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058849506368147"/>
          <c:y val="0.16802916023535588"/>
          <c:w val="0.66617790565667956"/>
          <c:h val="0.594137048298786"/>
        </c:manualLayout>
      </c:layout>
      <c:lineChart>
        <c:grouping val="standard"/>
        <c:ser>
          <c:idx val="0"/>
          <c:order val="0"/>
          <c:tx>
            <c:strRef>
              <c:f>'432'!$M$42:$N$42</c:f>
              <c:strCache>
                <c:ptCount val="1"/>
                <c:pt idx="0">
                  <c:v>1 h. Durée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multiLvlStrRef>
              <c:f>'432'!$O$40:$Q$41</c:f>
              <c:multiLvlStrCache>
                <c:ptCount val="3"/>
                <c:lvl>
                  <c:pt idx="0">
                    <c:v>10%</c:v>
                  </c:pt>
                  <c:pt idx="1">
                    <c:v>30%</c:v>
                  </c:pt>
                  <c:pt idx="2">
                    <c:v>50%</c:v>
                  </c:pt>
                </c:lvl>
                <c:lvl>
                  <c:pt idx="0">
                    <c:v>Moût</c:v>
                  </c:pt>
                  <c:pt idx="1">
                    <c:v>Moût</c:v>
                  </c:pt>
                  <c:pt idx="2">
                    <c:v>Moût</c:v>
                  </c:pt>
                </c:lvl>
              </c:multiLvlStrCache>
            </c:multiLvlStrRef>
          </c:cat>
          <c:val>
            <c:numRef>
              <c:f>'432'!$O$42:$Q$42</c:f>
              <c:numCache>
                <c:formatCode>@</c:formatCode>
                <c:ptCount val="3"/>
                <c:pt idx="0">
                  <c:v>602.125</c:v>
                </c:pt>
                <c:pt idx="1">
                  <c:v>454.875</c:v>
                </c:pt>
                <c:pt idx="2">
                  <c:v>817.5</c:v>
                </c:pt>
              </c:numCache>
            </c:numRef>
          </c:val>
        </c:ser>
        <c:ser>
          <c:idx val="1"/>
          <c:order val="1"/>
          <c:tx>
            <c:strRef>
              <c:f>'432'!$M$43:$N$43</c:f>
              <c:strCache>
                <c:ptCount val="1"/>
                <c:pt idx="0">
                  <c:v>3 h. Durée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square"/>
            <c:size val="4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'432'!$O$40:$Q$41</c:f>
              <c:multiLvlStrCache>
                <c:ptCount val="3"/>
                <c:lvl>
                  <c:pt idx="0">
                    <c:v>10%</c:v>
                  </c:pt>
                  <c:pt idx="1">
                    <c:v>30%</c:v>
                  </c:pt>
                  <c:pt idx="2">
                    <c:v>50%</c:v>
                  </c:pt>
                </c:lvl>
                <c:lvl>
                  <c:pt idx="0">
                    <c:v>Moût</c:v>
                  </c:pt>
                  <c:pt idx="1">
                    <c:v>Moût</c:v>
                  </c:pt>
                  <c:pt idx="2">
                    <c:v>Moût</c:v>
                  </c:pt>
                </c:lvl>
              </c:multiLvlStrCache>
            </c:multiLvlStrRef>
          </c:cat>
          <c:val>
            <c:numRef>
              <c:f>'432'!$O$43:$Q$43</c:f>
              <c:numCache>
                <c:formatCode>@</c:formatCode>
                <c:ptCount val="3"/>
                <c:pt idx="0">
                  <c:v>682.5</c:v>
                </c:pt>
                <c:pt idx="1">
                  <c:v>785</c:v>
                </c:pt>
                <c:pt idx="2">
                  <c:v>915</c:v>
                </c:pt>
              </c:numCache>
            </c:numRef>
          </c:val>
        </c:ser>
        <c:marker val="1"/>
        <c:axId val="137595136"/>
        <c:axId val="137609600"/>
      </c:lineChart>
      <c:catAx>
        <c:axId val="137595136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7609600"/>
        <c:crosses val="autoZero"/>
        <c:auto val="1"/>
        <c:lblAlgn val="ctr"/>
        <c:lblOffset val="100"/>
        <c:tickLblSkip val="1"/>
        <c:tickMarkSkip val="1"/>
      </c:catAx>
      <c:valAx>
        <c:axId val="1376096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/>
                  <a:t>Réponses</a:t>
                </a:r>
              </a:p>
            </c:rich>
          </c:tx>
          <c:layout>
            <c:manualLayout>
              <c:xMode val="edge"/>
              <c:yMode val="edge"/>
              <c:x val="1.8101505488811752E-2"/>
              <c:y val="0.37573213979689435"/>
            </c:manualLayout>
          </c:layout>
          <c:spPr>
            <a:noFill/>
            <a:ln w="25400">
              <a:noFill/>
            </a:ln>
          </c:spPr>
        </c:title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759513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588408896216257"/>
          <c:y val="0.41866693923628906"/>
          <c:w val="0.17941215119230705"/>
          <c:h val="0.1146667413194931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200"/>
              <a:t>Graphique des effets moyens</a:t>
            </a:r>
          </a:p>
        </c:rich>
      </c:tx>
      <c:layout>
        <c:manualLayout>
          <c:xMode val="edge"/>
          <c:yMode val="edge"/>
          <c:x val="0.28059047966415657"/>
          <c:y val="7.03189067219486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208413185729929"/>
          <c:y val="0.21426752306101554"/>
          <c:w val="0.78698212791520916"/>
          <c:h val="0.53763392480685557"/>
        </c:manualLayout>
      </c:layout>
      <c:lineChart>
        <c:grouping val="standard"/>
        <c:ser>
          <c:idx val="0"/>
          <c:order val="0"/>
          <c:tx>
            <c:strRef>
              <c:f>'442'!$M$9</c:f>
              <c:strCache>
                <c:ptCount val="1"/>
                <c:pt idx="0">
                  <c:v>Facteurs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'442'!$N$7:$Y$8</c:f>
              <c:multiLvlStrCache>
                <c:ptCount val="12"/>
                <c:lvl>
                  <c:pt idx="0">
                    <c:v>Virus</c:v>
                  </c:pt>
                  <c:pt idx="1">
                    <c:v>Virus</c:v>
                  </c:pt>
                  <c:pt idx="2">
                    <c:v>Virus</c:v>
                  </c:pt>
                  <c:pt idx="3">
                    <c:v>Virus</c:v>
                  </c:pt>
                  <c:pt idx="5">
                    <c:v>Temps</c:v>
                  </c:pt>
                  <c:pt idx="6">
                    <c:v>Temps</c:v>
                  </c:pt>
                  <c:pt idx="7">
                    <c:v>Temps</c:v>
                  </c:pt>
                  <c:pt idx="8">
                    <c:v>Temps</c:v>
                  </c:pt>
                  <c:pt idx="10">
                    <c:v>TNF</c:v>
                  </c:pt>
                  <c:pt idx="11">
                    <c:v>TNF</c:v>
                  </c:pt>
                </c:lvl>
                <c:lvl>
                  <c:pt idx="0">
                    <c:v>V1</c:v>
                  </c:pt>
                  <c:pt idx="1">
                    <c:v>V10</c:v>
                  </c:pt>
                  <c:pt idx="2">
                    <c:v>V20</c:v>
                  </c:pt>
                  <c:pt idx="3">
                    <c:v>V30</c:v>
                  </c:pt>
                  <c:pt idx="4">
                    <c:v> </c:v>
                  </c:pt>
                  <c:pt idx="5">
                    <c:v>1h</c:v>
                  </c:pt>
                  <c:pt idx="6">
                    <c:v>24h</c:v>
                  </c:pt>
                  <c:pt idx="7">
                    <c:v>48h</c:v>
                  </c:pt>
                  <c:pt idx="8">
                    <c:v>72h</c:v>
                  </c:pt>
                  <c:pt idx="9">
                    <c:v> </c:v>
                  </c:pt>
                  <c:pt idx="10">
                    <c:v>OUI</c:v>
                  </c:pt>
                  <c:pt idx="11">
                    <c:v>NON</c:v>
                  </c:pt>
                </c:lvl>
              </c:multiLvlStrCache>
            </c:multiLvlStrRef>
          </c:cat>
          <c:val>
            <c:numRef>
              <c:f>'442'!$N$9:$Y$9</c:f>
              <c:numCache>
                <c:formatCode>0.00</c:formatCode>
                <c:ptCount val="12"/>
                <c:pt idx="0">
                  <c:v>158.25</c:v>
                </c:pt>
                <c:pt idx="1">
                  <c:v>346.25</c:v>
                </c:pt>
                <c:pt idx="2">
                  <c:v>606.25</c:v>
                </c:pt>
                <c:pt idx="3">
                  <c:v>866.25</c:v>
                </c:pt>
                <c:pt idx="5">
                  <c:v>422.9375</c:v>
                </c:pt>
                <c:pt idx="6">
                  <c:v>471.5625</c:v>
                </c:pt>
                <c:pt idx="7">
                  <c:v>508.75</c:v>
                </c:pt>
                <c:pt idx="8">
                  <c:v>573.75</c:v>
                </c:pt>
                <c:pt idx="10">
                  <c:v>477.5625</c:v>
                </c:pt>
                <c:pt idx="11">
                  <c:v>510.9375</c:v>
                </c:pt>
              </c:numCache>
            </c:numRef>
          </c:val>
        </c:ser>
        <c:ser>
          <c:idx val="1"/>
          <c:order val="1"/>
          <c:tx>
            <c:strRef>
              <c:f>'442'!$M$10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none"/>
          </c:marker>
          <c:cat>
            <c:multiLvlStrRef>
              <c:f>'442'!$N$7:$Y$8</c:f>
              <c:multiLvlStrCache>
                <c:ptCount val="12"/>
                <c:lvl>
                  <c:pt idx="0">
                    <c:v>Virus</c:v>
                  </c:pt>
                  <c:pt idx="1">
                    <c:v>Virus</c:v>
                  </c:pt>
                  <c:pt idx="2">
                    <c:v>Virus</c:v>
                  </c:pt>
                  <c:pt idx="3">
                    <c:v>Virus</c:v>
                  </c:pt>
                  <c:pt idx="5">
                    <c:v>Temps</c:v>
                  </c:pt>
                  <c:pt idx="6">
                    <c:v>Temps</c:v>
                  </c:pt>
                  <c:pt idx="7">
                    <c:v>Temps</c:v>
                  </c:pt>
                  <c:pt idx="8">
                    <c:v>Temps</c:v>
                  </c:pt>
                  <c:pt idx="10">
                    <c:v>TNF</c:v>
                  </c:pt>
                  <c:pt idx="11">
                    <c:v>TNF</c:v>
                  </c:pt>
                </c:lvl>
                <c:lvl>
                  <c:pt idx="0">
                    <c:v>V1</c:v>
                  </c:pt>
                  <c:pt idx="1">
                    <c:v>V10</c:v>
                  </c:pt>
                  <c:pt idx="2">
                    <c:v>V20</c:v>
                  </c:pt>
                  <c:pt idx="3">
                    <c:v>V30</c:v>
                  </c:pt>
                  <c:pt idx="4">
                    <c:v> </c:v>
                  </c:pt>
                  <c:pt idx="5">
                    <c:v>1h</c:v>
                  </c:pt>
                  <c:pt idx="6">
                    <c:v>24h</c:v>
                  </c:pt>
                  <c:pt idx="7">
                    <c:v>48h</c:v>
                  </c:pt>
                  <c:pt idx="8">
                    <c:v>72h</c:v>
                  </c:pt>
                  <c:pt idx="9">
                    <c:v> </c:v>
                  </c:pt>
                  <c:pt idx="10">
                    <c:v>OUI</c:v>
                  </c:pt>
                  <c:pt idx="11">
                    <c:v>NON</c:v>
                  </c:pt>
                </c:lvl>
              </c:multiLvlStrCache>
            </c:multiLvlStrRef>
          </c:cat>
          <c:val>
            <c:numRef>
              <c:f>'442'!$N$10:$Y$10</c:f>
              <c:numCache>
                <c:formatCode>0.00</c:formatCode>
                <c:ptCount val="12"/>
                <c:pt idx="0">
                  <c:v>494.25</c:v>
                </c:pt>
                <c:pt idx="1">
                  <c:v>494.25</c:v>
                </c:pt>
                <c:pt idx="2">
                  <c:v>494.25</c:v>
                </c:pt>
                <c:pt idx="3">
                  <c:v>494.25</c:v>
                </c:pt>
                <c:pt idx="4">
                  <c:v>494.25</c:v>
                </c:pt>
                <c:pt idx="5">
                  <c:v>494.25</c:v>
                </c:pt>
                <c:pt idx="6">
                  <c:v>494.25</c:v>
                </c:pt>
                <c:pt idx="7">
                  <c:v>494.25</c:v>
                </c:pt>
                <c:pt idx="8">
                  <c:v>494.25</c:v>
                </c:pt>
                <c:pt idx="9">
                  <c:v>494.25</c:v>
                </c:pt>
                <c:pt idx="10">
                  <c:v>494.25</c:v>
                </c:pt>
                <c:pt idx="11">
                  <c:v>494.25</c:v>
                </c:pt>
              </c:numCache>
            </c:numRef>
          </c:val>
        </c:ser>
        <c:marker val="1"/>
        <c:axId val="137558272"/>
        <c:axId val="153964544"/>
      </c:lineChart>
      <c:catAx>
        <c:axId val="1375582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3964544"/>
        <c:crosses val="autoZero"/>
        <c:auto val="1"/>
        <c:lblAlgn val="ctr"/>
        <c:lblOffset val="100"/>
        <c:tickLblSkip val="1"/>
        <c:tickMarkSkip val="1"/>
      </c:catAx>
      <c:valAx>
        <c:axId val="153964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/>
                  <a:t>Réponses</a:t>
                </a:r>
              </a:p>
            </c:rich>
          </c:tx>
          <c:layout>
            <c:manualLayout>
              <c:xMode val="edge"/>
              <c:yMode val="edge"/>
              <c:x val="2.5710461955130194E-2"/>
              <c:y val="0.4227863780151484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75582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44775687099053"/>
          <c:y val="8.1334542200851997E-2"/>
          <c:w val="0.15561595393894626"/>
          <c:h val="0.1088611632015052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200"/>
              <a:t>Interactions avec A</a:t>
            </a:r>
          </a:p>
        </c:rich>
      </c:tx>
      <c:layout>
        <c:manualLayout>
          <c:xMode val="edge"/>
          <c:yMode val="edge"/>
          <c:x val="0.35119117793182331"/>
          <c:y val="3.614465273571899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095264261864575"/>
          <c:y val="0.13535852372248028"/>
          <c:w val="0.67113229342056169"/>
          <c:h val="0.55620914949511269"/>
        </c:manualLayout>
      </c:layout>
      <c:lineChart>
        <c:grouping val="standard"/>
        <c:ser>
          <c:idx val="0"/>
          <c:order val="0"/>
          <c:tx>
            <c:strRef>
              <c:f>'442'!$P$24:$P$25</c:f>
              <c:strCache>
                <c:ptCount val="1"/>
                <c:pt idx="0">
                  <c:v>Virus V1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'442'!$N$26:$O$32</c:f>
              <c:multiLvlStrCache>
                <c:ptCount val="7"/>
                <c:lvl>
                  <c:pt idx="0">
                    <c:v>Temps</c:v>
                  </c:pt>
                  <c:pt idx="1">
                    <c:v>Temps</c:v>
                  </c:pt>
                  <c:pt idx="2">
                    <c:v>Temps</c:v>
                  </c:pt>
                  <c:pt idx="3">
                    <c:v>Temps</c:v>
                  </c:pt>
                  <c:pt idx="5">
                    <c:v>TNF</c:v>
                  </c:pt>
                  <c:pt idx="6">
                    <c:v>TNF</c:v>
                  </c:pt>
                </c:lvl>
                <c:lvl>
                  <c:pt idx="0">
                    <c:v>1h</c:v>
                  </c:pt>
                  <c:pt idx="1">
                    <c:v>24h</c:v>
                  </c:pt>
                  <c:pt idx="2">
                    <c:v>48h</c:v>
                  </c:pt>
                  <c:pt idx="3">
                    <c:v>72h</c:v>
                  </c:pt>
                  <c:pt idx="4">
                    <c:v> </c:v>
                  </c:pt>
                  <c:pt idx="5">
                    <c:v>OUI</c:v>
                  </c:pt>
                  <c:pt idx="6">
                    <c:v>NON</c:v>
                  </c:pt>
                </c:lvl>
              </c:multiLvlStrCache>
            </c:multiLvlStrRef>
          </c:cat>
          <c:val>
            <c:numRef>
              <c:f>'442'!$P$26:$P$32</c:f>
              <c:numCache>
                <c:formatCode>General</c:formatCode>
                <c:ptCount val="7"/>
                <c:pt idx="0">
                  <c:v>165.5</c:v>
                </c:pt>
                <c:pt idx="1">
                  <c:v>165</c:v>
                </c:pt>
                <c:pt idx="2">
                  <c:v>118.75</c:v>
                </c:pt>
                <c:pt idx="3">
                  <c:v>183.75</c:v>
                </c:pt>
                <c:pt idx="5">
                  <c:v>140.25</c:v>
                </c:pt>
                <c:pt idx="6">
                  <c:v>176.25</c:v>
                </c:pt>
              </c:numCache>
            </c:numRef>
          </c:val>
        </c:ser>
        <c:ser>
          <c:idx val="1"/>
          <c:order val="1"/>
          <c:tx>
            <c:strRef>
              <c:f>'442'!$Q$24:$Q$25</c:f>
              <c:strCache>
                <c:ptCount val="1"/>
                <c:pt idx="0">
                  <c:v>Virus V10</c:v>
                </c:pt>
              </c:strCache>
            </c:strRef>
          </c:tx>
          <c:spPr>
            <a:ln w="25400">
              <a:solidFill>
                <a:srgbClr val="008000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multiLvlStrRef>
              <c:f>'442'!$N$26:$O$32</c:f>
              <c:multiLvlStrCache>
                <c:ptCount val="7"/>
                <c:lvl>
                  <c:pt idx="0">
                    <c:v>Temps</c:v>
                  </c:pt>
                  <c:pt idx="1">
                    <c:v>Temps</c:v>
                  </c:pt>
                  <c:pt idx="2">
                    <c:v>Temps</c:v>
                  </c:pt>
                  <c:pt idx="3">
                    <c:v>Temps</c:v>
                  </c:pt>
                  <c:pt idx="5">
                    <c:v>TNF</c:v>
                  </c:pt>
                  <c:pt idx="6">
                    <c:v>TNF</c:v>
                  </c:pt>
                </c:lvl>
                <c:lvl>
                  <c:pt idx="0">
                    <c:v>1h</c:v>
                  </c:pt>
                  <c:pt idx="1">
                    <c:v>24h</c:v>
                  </c:pt>
                  <c:pt idx="2">
                    <c:v>48h</c:v>
                  </c:pt>
                  <c:pt idx="3">
                    <c:v>72h</c:v>
                  </c:pt>
                  <c:pt idx="4">
                    <c:v> </c:v>
                  </c:pt>
                  <c:pt idx="5">
                    <c:v>OUI</c:v>
                  </c:pt>
                  <c:pt idx="6">
                    <c:v>NON</c:v>
                  </c:pt>
                </c:lvl>
              </c:multiLvlStrCache>
            </c:multiLvlStrRef>
          </c:cat>
          <c:val>
            <c:numRef>
              <c:f>'442'!$Q$26:$Q$32</c:f>
              <c:numCache>
                <c:formatCode>General</c:formatCode>
                <c:ptCount val="7"/>
                <c:pt idx="0">
                  <c:v>248.75</c:v>
                </c:pt>
                <c:pt idx="1">
                  <c:v>313.75</c:v>
                </c:pt>
                <c:pt idx="2">
                  <c:v>378.75</c:v>
                </c:pt>
                <c:pt idx="3">
                  <c:v>443.75</c:v>
                </c:pt>
                <c:pt idx="5">
                  <c:v>330</c:v>
                </c:pt>
                <c:pt idx="6">
                  <c:v>362.5</c:v>
                </c:pt>
              </c:numCache>
            </c:numRef>
          </c:val>
        </c:ser>
        <c:ser>
          <c:idx val="2"/>
          <c:order val="2"/>
          <c:tx>
            <c:strRef>
              <c:f>'442'!$R$24:$R$25</c:f>
              <c:strCache>
                <c:ptCount val="1"/>
                <c:pt idx="0">
                  <c:v>Virus V20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'442'!$N$26:$O$32</c:f>
              <c:multiLvlStrCache>
                <c:ptCount val="7"/>
                <c:lvl>
                  <c:pt idx="0">
                    <c:v>Temps</c:v>
                  </c:pt>
                  <c:pt idx="1">
                    <c:v>Temps</c:v>
                  </c:pt>
                  <c:pt idx="2">
                    <c:v>Temps</c:v>
                  </c:pt>
                  <c:pt idx="3">
                    <c:v>Temps</c:v>
                  </c:pt>
                  <c:pt idx="5">
                    <c:v>TNF</c:v>
                  </c:pt>
                  <c:pt idx="6">
                    <c:v>TNF</c:v>
                  </c:pt>
                </c:lvl>
                <c:lvl>
                  <c:pt idx="0">
                    <c:v>1h</c:v>
                  </c:pt>
                  <c:pt idx="1">
                    <c:v>24h</c:v>
                  </c:pt>
                  <c:pt idx="2">
                    <c:v>48h</c:v>
                  </c:pt>
                  <c:pt idx="3">
                    <c:v>72h</c:v>
                  </c:pt>
                  <c:pt idx="4">
                    <c:v> </c:v>
                  </c:pt>
                  <c:pt idx="5">
                    <c:v>OUI</c:v>
                  </c:pt>
                  <c:pt idx="6">
                    <c:v>NON</c:v>
                  </c:pt>
                </c:lvl>
              </c:multiLvlStrCache>
            </c:multiLvlStrRef>
          </c:cat>
          <c:val>
            <c:numRef>
              <c:f>'442'!$R$26:$R$32</c:f>
              <c:numCache>
                <c:formatCode>General</c:formatCode>
                <c:ptCount val="7"/>
                <c:pt idx="0">
                  <c:v>508.75</c:v>
                </c:pt>
                <c:pt idx="1">
                  <c:v>573.75</c:v>
                </c:pt>
                <c:pt idx="2">
                  <c:v>638.75</c:v>
                </c:pt>
                <c:pt idx="3">
                  <c:v>703.75</c:v>
                </c:pt>
                <c:pt idx="5">
                  <c:v>590</c:v>
                </c:pt>
                <c:pt idx="6">
                  <c:v>622.5</c:v>
                </c:pt>
              </c:numCache>
            </c:numRef>
          </c:val>
        </c:ser>
        <c:ser>
          <c:idx val="3"/>
          <c:order val="3"/>
          <c:tx>
            <c:strRef>
              <c:f>'442'!$S$24:$S$25</c:f>
              <c:strCache>
                <c:ptCount val="1"/>
                <c:pt idx="0">
                  <c:v>Virus V30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'442'!$N$26:$O$32</c:f>
              <c:multiLvlStrCache>
                <c:ptCount val="7"/>
                <c:lvl>
                  <c:pt idx="0">
                    <c:v>Temps</c:v>
                  </c:pt>
                  <c:pt idx="1">
                    <c:v>Temps</c:v>
                  </c:pt>
                  <c:pt idx="2">
                    <c:v>Temps</c:v>
                  </c:pt>
                  <c:pt idx="3">
                    <c:v>Temps</c:v>
                  </c:pt>
                  <c:pt idx="5">
                    <c:v>TNF</c:v>
                  </c:pt>
                  <c:pt idx="6">
                    <c:v>TNF</c:v>
                  </c:pt>
                </c:lvl>
                <c:lvl>
                  <c:pt idx="0">
                    <c:v>1h</c:v>
                  </c:pt>
                  <c:pt idx="1">
                    <c:v>24h</c:v>
                  </c:pt>
                  <c:pt idx="2">
                    <c:v>48h</c:v>
                  </c:pt>
                  <c:pt idx="3">
                    <c:v>72h</c:v>
                  </c:pt>
                  <c:pt idx="4">
                    <c:v> </c:v>
                  </c:pt>
                  <c:pt idx="5">
                    <c:v>OUI</c:v>
                  </c:pt>
                  <c:pt idx="6">
                    <c:v>NON</c:v>
                  </c:pt>
                </c:lvl>
              </c:multiLvlStrCache>
            </c:multiLvlStrRef>
          </c:cat>
          <c:val>
            <c:numRef>
              <c:f>'442'!$S$26:$S$32</c:f>
              <c:numCache>
                <c:formatCode>General</c:formatCode>
                <c:ptCount val="7"/>
                <c:pt idx="0">
                  <c:v>768.75</c:v>
                </c:pt>
                <c:pt idx="1">
                  <c:v>833.75</c:v>
                </c:pt>
                <c:pt idx="2">
                  <c:v>898.75</c:v>
                </c:pt>
                <c:pt idx="3">
                  <c:v>963.75</c:v>
                </c:pt>
                <c:pt idx="5">
                  <c:v>850</c:v>
                </c:pt>
                <c:pt idx="6">
                  <c:v>882.5</c:v>
                </c:pt>
              </c:numCache>
            </c:numRef>
          </c:val>
        </c:ser>
        <c:marker val="1"/>
        <c:axId val="153996288"/>
        <c:axId val="153994368"/>
      </c:lineChart>
      <c:catAx>
        <c:axId val="1539962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3994368"/>
        <c:crosses val="autoZero"/>
        <c:auto val="1"/>
        <c:lblAlgn val="ctr"/>
        <c:lblOffset val="100"/>
        <c:tickLblSkip val="1"/>
        <c:tickMarkSkip val="1"/>
      </c:catAx>
      <c:valAx>
        <c:axId val="153994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1" i="0" baseline="0">
                    <a:latin typeface="Arial" pitchFamily="34" charset="0"/>
                    <a:cs typeface="Arial" pitchFamily="34" charset="0"/>
                  </a:rPr>
                  <a:t>Réponses</a:t>
                </a:r>
                <a:endParaRPr lang="fr-FR" sz="10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2.8273866019934986E-2"/>
              <c:y val="0.3855429625143364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399628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143021278968864"/>
          <c:y val="0.34457902274718771"/>
          <c:w val="0.16369080327330737"/>
          <c:h val="0.24926084962051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200"/>
              <a:t>Interaction BC</a:t>
            </a:r>
          </a:p>
        </c:rich>
      </c:tx>
      <c:layout>
        <c:manualLayout>
          <c:xMode val="edge"/>
          <c:yMode val="edge"/>
          <c:x val="0.36890305684299218"/>
          <c:y val="3.693943296063655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80059133196904"/>
          <c:y val="0.18448421467455242"/>
          <c:w val="0.60039353018135977"/>
          <c:h val="0.58921286661781036"/>
        </c:manualLayout>
      </c:layout>
      <c:lineChart>
        <c:grouping val="standard"/>
        <c:ser>
          <c:idx val="0"/>
          <c:order val="0"/>
          <c:tx>
            <c:strRef>
              <c:f>'442'!$N$44:$O$44</c:f>
              <c:strCache>
                <c:ptCount val="1"/>
                <c:pt idx="0">
                  <c:v>OUI TNF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'442'!$P$42:$S$43</c:f>
              <c:multiLvlStrCache>
                <c:ptCount val="4"/>
                <c:lvl>
                  <c:pt idx="0">
                    <c:v>1h</c:v>
                  </c:pt>
                  <c:pt idx="1">
                    <c:v>24h</c:v>
                  </c:pt>
                  <c:pt idx="2">
                    <c:v>48h</c:v>
                  </c:pt>
                  <c:pt idx="3">
                    <c:v>72h</c:v>
                  </c:pt>
                </c:lvl>
                <c:lvl>
                  <c:pt idx="0">
                    <c:v>Temps</c:v>
                  </c:pt>
                  <c:pt idx="1">
                    <c:v>Temps</c:v>
                  </c:pt>
                  <c:pt idx="2">
                    <c:v>Temps</c:v>
                  </c:pt>
                  <c:pt idx="3">
                    <c:v>Temps</c:v>
                  </c:pt>
                </c:lvl>
              </c:multiLvlStrCache>
            </c:multiLvlStrRef>
          </c:cat>
          <c:val>
            <c:numRef>
              <c:f>'442'!$P$44:$S$44</c:f>
              <c:numCache>
                <c:formatCode>General</c:formatCode>
                <c:ptCount val="4"/>
                <c:pt idx="0">
                  <c:v>404.625</c:v>
                </c:pt>
                <c:pt idx="1">
                  <c:v>455.625</c:v>
                </c:pt>
                <c:pt idx="2">
                  <c:v>492.5</c:v>
                </c:pt>
                <c:pt idx="3">
                  <c:v>557.5</c:v>
                </c:pt>
              </c:numCache>
            </c:numRef>
          </c:val>
        </c:ser>
        <c:ser>
          <c:idx val="1"/>
          <c:order val="1"/>
          <c:tx>
            <c:strRef>
              <c:f>'442'!$N$45:$O$45</c:f>
              <c:strCache>
                <c:ptCount val="1"/>
                <c:pt idx="0">
                  <c:v>NON TNF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multiLvlStrRef>
              <c:f>'442'!$P$42:$S$43</c:f>
              <c:multiLvlStrCache>
                <c:ptCount val="4"/>
                <c:lvl>
                  <c:pt idx="0">
                    <c:v>1h</c:v>
                  </c:pt>
                  <c:pt idx="1">
                    <c:v>24h</c:v>
                  </c:pt>
                  <c:pt idx="2">
                    <c:v>48h</c:v>
                  </c:pt>
                  <c:pt idx="3">
                    <c:v>72h</c:v>
                  </c:pt>
                </c:lvl>
                <c:lvl>
                  <c:pt idx="0">
                    <c:v>Temps</c:v>
                  </c:pt>
                  <c:pt idx="1">
                    <c:v>Temps</c:v>
                  </c:pt>
                  <c:pt idx="2">
                    <c:v>Temps</c:v>
                  </c:pt>
                  <c:pt idx="3">
                    <c:v>Temps</c:v>
                  </c:pt>
                </c:lvl>
              </c:multiLvlStrCache>
            </c:multiLvlStrRef>
          </c:cat>
          <c:val>
            <c:numRef>
              <c:f>'442'!$P$45:$S$45</c:f>
              <c:numCache>
                <c:formatCode>General</c:formatCode>
                <c:ptCount val="4"/>
                <c:pt idx="0">
                  <c:v>441.25</c:v>
                </c:pt>
                <c:pt idx="1">
                  <c:v>487.5</c:v>
                </c:pt>
                <c:pt idx="2">
                  <c:v>525</c:v>
                </c:pt>
                <c:pt idx="3">
                  <c:v>590</c:v>
                </c:pt>
              </c:numCache>
            </c:numRef>
          </c:val>
        </c:ser>
        <c:marker val="1"/>
        <c:axId val="137683328"/>
        <c:axId val="137685248"/>
      </c:lineChart>
      <c:catAx>
        <c:axId val="137683328"/>
        <c:scaling>
          <c:orientation val="minMax"/>
        </c:scaling>
        <c:axPos val="b"/>
        <c:numFmt formatCode="@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7685248"/>
        <c:crosses val="autoZero"/>
        <c:auto val="1"/>
        <c:lblAlgn val="ctr"/>
        <c:lblOffset val="100"/>
        <c:tickLblSkip val="1"/>
        <c:tickMarkSkip val="1"/>
      </c:catAx>
      <c:valAx>
        <c:axId val="1376852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/>
                  <a:t>Réponses</a:t>
                </a:r>
              </a:p>
            </c:rich>
          </c:tx>
          <c:layout>
            <c:manualLayout>
              <c:xMode val="edge"/>
              <c:yMode val="edge"/>
              <c:x val="2.8963463140565478E-2"/>
              <c:y val="0.3957796388639634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76833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783375941580102"/>
          <c:y val="0.40369523164124221"/>
          <c:w val="0.20692389192641117"/>
          <c:h val="0.118733891659188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400"/>
              <a:t>Graphique des effets moyens</a:t>
            </a:r>
          </a:p>
        </c:rich>
      </c:tx>
      <c:layout>
        <c:manualLayout>
          <c:xMode val="edge"/>
          <c:yMode val="edge"/>
          <c:x val="0.26690422378251061"/>
          <c:y val="3.614465273571899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7866350393760386"/>
          <c:y val="0.21693331197620772"/>
          <c:w val="0.76161037818359612"/>
          <c:h val="0.55656241520404226"/>
        </c:manualLayout>
      </c:layout>
      <c:lineChart>
        <c:grouping val="standard"/>
        <c:ser>
          <c:idx val="0"/>
          <c:order val="0"/>
          <c:tx>
            <c:strRef>
              <c:f>'4322'!$M$18</c:f>
              <c:strCache>
                <c:ptCount val="1"/>
                <c:pt idx="0">
                  <c:v>Facteurs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'4322'!$N$16:$AA$17</c:f>
              <c:multiLvlStrCache>
                <c:ptCount val="14"/>
                <c:lvl>
                  <c:pt idx="0">
                    <c:v>Temp.</c:v>
                  </c:pt>
                  <c:pt idx="1">
                    <c:v>Temp.</c:v>
                  </c:pt>
                  <c:pt idx="2">
                    <c:v>Temp.</c:v>
                  </c:pt>
                  <c:pt idx="3">
                    <c:v>Temp.</c:v>
                  </c:pt>
                  <c:pt idx="5">
                    <c:v>Moût</c:v>
                  </c:pt>
                  <c:pt idx="6">
                    <c:v>Moût</c:v>
                  </c:pt>
                  <c:pt idx="7">
                    <c:v>Moût</c:v>
                  </c:pt>
                  <c:pt idx="9">
                    <c:v>Durée</c:v>
                  </c:pt>
                  <c:pt idx="10">
                    <c:v>Durée</c:v>
                  </c:pt>
                  <c:pt idx="12">
                    <c:v>Oxyg.</c:v>
                  </c:pt>
                  <c:pt idx="13">
                    <c:v>Oxyg.</c:v>
                  </c:pt>
                </c:lvl>
                <c:lvl>
                  <c:pt idx="0">
                    <c:v>10°C</c:v>
                  </c:pt>
                  <c:pt idx="1">
                    <c:v>20°C</c:v>
                  </c:pt>
                  <c:pt idx="2">
                    <c:v>30°C</c:v>
                  </c:pt>
                  <c:pt idx="3">
                    <c:v>40°C</c:v>
                  </c:pt>
                  <c:pt idx="4">
                    <c:v> </c:v>
                  </c:pt>
                  <c:pt idx="5">
                    <c:v>10%</c:v>
                  </c:pt>
                  <c:pt idx="6">
                    <c:v>30%</c:v>
                  </c:pt>
                  <c:pt idx="7">
                    <c:v>50%</c:v>
                  </c:pt>
                  <c:pt idx="8">
                    <c:v> </c:v>
                  </c:pt>
                  <c:pt idx="9">
                    <c:v>1 h.</c:v>
                  </c:pt>
                  <c:pt idx="10">
                    <c:v>3 h.</c:v>
                  </c:pt>
                  <c:pt idx="11">
                    <c:v> </c:v>
                  </c:pt>
                  <c:pt idx="12">
                    <c:v>Non</c:v>
                  </c:pt>
                  <c:pt idx="13">
                    <c:v>Oui</c:v>
                  </c:pt>
                </c:lvl>
              </c:multiLvlStrCache>
            </c:multiLvlStrRef>
          </c:cat>
          <c:val>
            <c:numRef>
              <c:f>'4322'!$N$18:$AA$18</c:f>
              <c:numCache>
                <c:formatCode>0.00</c:formatCode>
                <c:ptCount val="14"/>
                <c:pt idx="0">
                  <c:v>199.25</c:v>
                </c:pt>
                <c:pt idx="1">
                  <c:v>541.25</c:v>
                </c:pt>
                <c:pt idx="2">
                  <c:v>931.25</c:v>
                </c:pt>
                <c:pt idx="3" formatCode="0.0">
                  <c:v>1243.7083333333333</c:v>
                </c:pt>
                <c:pt idx="5">
                  <c:v>642.25</c:v>
                </c:pt>
                <c:pt idx="6">
                  <c:v>678.09375</c:v>
                </c:pt>
                <c:pt idx="7">
                  <c:v>866.25</c:v>
                </c:pt>
                <c:pt idx="9">
                  <c:v>679.70833333333337</c:v>
                </c:pt>
                <c:pt idx="10">
                  <c:v>778.02083333333337</c:v>
                </c:pt>
                <c:pt idx="12" formatCode="0.000">
                  <c:v>692.9375</c:v>
                </c:pt>
                <c:pt idx="13" formatCode="0.000">
                  <c:v>764.79166666666663</c:v>
                </c:pt>
              </c:numCache>
            </c:numRef>
          </c:val>
        </c:ser>
        <c:ser>
          <c:idx val="1"/>
          <c:order val="1"/>
          <c:tx>
            <c:strRef>
              <c:f>'4322'!$M$19</c:f>
              <c:strCache>
                <c:ptCount val="1"/>
                <c:pt idx="0">
                  <c:v>Moyenne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none"/>
          </c:marker>
          <c:cat>
            <c:multiLvlStrRef>
              <c:f>'4322'!$N$16:$AA$17</c:f>
              <c:multiLvlStrCache>
                <c:ptCount val="14"/>
                <c:lvl>
                  <c:pt idx="0">
                    <c:v>Temp.</c:v>
                  </c:pt>
                  <c:pt idx="1">
                    <c:v>Temp.</c:v>
                  </c:pt>
                  <c:pt idx="2">
                    <c:v>Temp.</c:v>
                  </c:pt>
                  <c:pt idx="3">
                    <c:v>Temp.</c:v>
                  </c:pt>
                  <c:pt idx="5">
                    <c:v>Moût</c:v>
                  </c:pt>
                  <c:pt idx="6">
                    <c:v>Moût</c:v>
                  </c:pt>
                  <c:pt idx="7">
                    <c:v>Moût</c:v>
                  </c:pt>
                  <c:pt idx="9">
                    <c:v>Durée</c:v>
                  </c:pt>
                  <c:pt idx="10">
                    <c:v>Durée</c:v>
                  </c:pt>
                  <c:pt idx="12">
                    <c:v>Oxyg.</c:v>
                  </c:pt>
                  <c:pt idx="13">
                    <c:v>Oxyg.</c:v>
                  </c:pt>
                </c:lvl>
                <c:lvl>
                  <c:pt idx="0">
                    <c:v>10°C</c:v>
                  </c:pt>
                  <c:pt idx="1">
                    <c:v>20°C</c:v>
                  </c:pt>
                  <c:pt idx="2">
                    <c:v>30°C</c:v>
                  </c:pt>
                  <c:pt idx="3">
                    <c:v>40°C</c:v>
                  </c:pt>
                  <c:pt idx="4">
                    <c:v> </c:v>
                  </c:pt>
                  <c:pt idx="5">
                    <c:v>10%</c:v>
                  </c:pt>
                  <c:pt idx="6">
                    <c:v>30%</c:v>
                  </c:pt>
                  <c:pt idx="7">
                    <c:v>50%</c:v>
                  </c:pt>
                  <c:pt idx="8">
                    <c:v> </c:v>
                  </c:pt>
                  <c:pt idx="9">
                    <c:v>1 h.</c:v>
                  </c:pt>
                  <c:pt idx="10">
                    <c:v>3 h.</c:v>
                  </c:pt>
                  <c:pt idx="11">
                    <c:v> </c:v>
                  </c:pt>
                  <c:pt idx="12">
                    <c:v>Non</c:v>
                  </c:pt>
                  <c:pt idx="13">
                    <c:v>Oui</c:v>
                  </c:pt>
                </c:lvl>
              </c:multiLvlStrCache>
            </c:multiLvlStrRef>
          </c:cat>
          <c:val>
            <c:numRef>
              <c:f>'4322'!$N$19:$AA$19</c:f>
              <c:numCache>
                <c:formatCode>0.000</c:formatCode>
                <c:ptCount val="14"/>
                <c:pt idx="0">
                  <c:v>728.86458333333337</c:v>
                </c:pt>
                <c:pt idx="1">
                  <c:v>728.86458333333337</c:v>
                </c:pt>
                <c:pt idx="2">
                  <c:v>728.86458333333337</c:v>
                </c:pt>
                <c:pt idx="3">
                  <c:v>728.86458333333337</c:v>
                </c:pt>
                <c:pt idx="4">
                  <c:v>728.86458333333337</c:v>
                </c:pt>
                <c:pt idx="5">
                  <c:v>728.86458333333337</c:v>
                </c:pt>
                <c:pt idx="6">
                  <c:v>728.86458333333337</c:v>
                </c:pt>
                <c:pt idx="7">
                  <c:v>728.86458333333337</c:v>
                </c:pt>
                <c:pt idx="8">
                  <c:v>728.86458333333337</c:v>
                </c:pt>
                <c:pt idx="9">
                  <c:v>728.86458333333337</c:v>
                </c:pt>
                <c:pt idx="10">
                  <c:v>728.86458333333337</c:v>
                </c:pt>
                <c:pt idx="11">
                  <c:v>728.86458333333337</c:v>
                </c:pt>
                <c:pt idx="12">
                  <c:v>728.86458333333337</c:v>
                </c:pt>
                <c:pt idx="13">
                  <c:v>728.86458333333337</c:v>
                </c:pt>
              </c:numCache>
            </c:numRef>
          </c:val>
        </c:ser>
        <c:marker val="1"/>
        <c:axId val="154510080"/>
        <c:axId val="154511616"/>
      </c:lineChart>
      <c:catAx>
        <c:axId val="1545100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4511616"/>
        <c:crosses val="autoZero"/>
        <c:auto val="1"/>
        <c:lblAlgn val="ctr"/>
        <c:lblOffset val="100"/>
        <c:tickLblSkip val="1"/>
        <c:tickMarkSkip val="1"/>
      </c:catAx>
      <c:valAx>
        <c:axId val="1545116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100" b="1">
                    <a:latin typeface="Arial" pitchFamily="34" charset="0"/>
                    <a:cs typeface="Arial" pitchFamily="34" charset="0"/>
                  </a:rPr>
                  <a:t>Réponses</a:t>
                </a:r>
              </a:p>
            </c:rich>
          </c:tx>
          <c:layout>
            <c:manualLayout>
              <c:xMode val="edge"/>
              <c:yMode val="edge"/>
              <c:x val="4.1249455105816797E-2"/>
              <c:y val="0.40601589591748216"/>
            </c:manualLayout>
          </c:layout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45100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991974338148623"/>
          <c:y val="6.9679415994176194E-2"/>
          <c:w val="0.13641771437772768"/>
          <c:h val="0.103614671175727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400"/>
              <a:t>Interactions avec A</a:t>
            </a:r>
          </a:p>
        </c:rich>
      </c:tx>
      <c:layout>
        <c:manualLayout>
          <c:xMode val="edge"/>
          <c:yMode val="edge"/>
          <c:x val="0.34586508491086793"/>
          <c:y val="3.404265929186531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27582417447949"/>
          <c:y val="0.13546155134863463"/>
          <c:w val="0.64870591833915692"/>
          <c:h val="0.63617188808845815"/>
        </c:manualLayout>
      </c:layout>
      <c:lineChart>
        <c:grouping val="standard"/>
        <c:ser>
          <c:idx val="0"/>
          <c:order val="0"/>
          <c:tx>
            <c:strRef>
              <c:f>'4322'!$O$26:$O$27</c:f>
              <c:strCache>
                <c:ptCount val="1"/>
                <c:pt idx="0">
                  <c:v>Temp. 10°C</c:v>
                </c:pt>
              </c:strCache>
            </c:strRef>
          </c:tx>
          <c:spPr>
            <a:ln w="25400">
              <a:solidFill>
                <a:srgbClr val="000080"/>
              </a:solidFill>
              <a:prstDash val="lgDashDot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'4322'!$M$28:$N$36</c:f>
              <c:multiLvlStrCache>
                <c:ptCount val="9"/>
                <c:lvl>
                  <c:pt idx="0">
                    <c:v>Moût</c:v>
                  </c:pt>
                  <c:pt idx="1">
                    <c:v>Moût</c:v>
                  </c:pt>
                  <c:pt idx="2">
                    <c:v>Moût</c:v>
                  </c:pt>
                  <c:pt idx="4">
                    <c:v>Durée</c:v>
                  </c:pt>
                  <c:pt idx="5">
                    <c:v>Durée</c:v>
                  </c:pt>
                  <c:pt idx="7">
                    <c:v>Oxyg.</c:v>
                  </c:pt>
                  <c:pt idx="8">
                    <c:v>Oxyg.</c:v>
                  </c:pt>
                </c:lvl>
                <c:lvl>
                  <c:pt idx="0">
                    <c:v>10%</c:v>
                  </c:pt>
                  <c:pt idx="1">
                    <c:v>30%</c:v>
                  </c:pt>
                  <c:pt idx="2">
                    <c:v>50%</c:v>
                  </c:pt>
                  <c:pt idx="3">
                    <c:v> </c:v>
                  </c:pt>
                  <c:pt idx="4">
                    <c:v>1 h.</c:v>
                  </c:pt>
                  <c:pt idx="5">
                    <c:v>3 h.</c:v>
                  </c:pt>
                  <c:pt idx="6">
                    <c:v> </c:v>
                  </c:pt>
                  <c:pt idx="7">
                    <c:v>Non</c:v>
                  </c:pt>
                  <c:pt idx="8">
                    <c:v>Oui</c:v>
                  </c:pt>
                </c:lvl>
              </c:multiLvlStrCache>
            </c:multiLvlStrRef>
          </c:cat>
          <c:val>
            <c:numRef>
              <c:f>'4322'!$O$28:$O$36</c:f>
              <c:numCache>
                <c:formatCode>General</c:formatCode>
                <c:ptCount val="9"/>
                <c:pt idx="0">
                  <c:v>165.25</c:v>
                </c:pt>
                <c:pt idx="1">
                  <c:v>151.25</c:v>
                </c:pt>
                <c:pt idx="2">
                  <c:v>281.25</c:v>
                </c:pt>
                <c:pt idx="4">
                  <c:v>177.66666666666666</c:v>
                </c:pt>
                <c:pt idx="5">
                  <c:v>220.83333333333334</c:v>
                </c:pt>
                <c:pt idx="7">
                  <c:v>181.83333333333334</c:v>
                </c:pt>
                <c:pt idx="8">
                  <c:v>216.66666666666666</c:v>
                </c:pt>
              </c:numCache>
            </c:numRef>
          </c:val>
        </c:ser>
        <c:ser>
          <c:idx val="1"/>
          <c:order val="1"/>
          <c:tx>
            <c:strRef>
              <c:f>'4322'!$P$26:$P$27</c:f>
              <c:strCache>
                <c:ptCount val="1"/>
                <c:pt idx="0">
                  <c:v>Temp. 20°C</c:v>
                </c:pt>
              </c:strCache>
            </c:strRef>
          </c:tx>
          <c:spPr>
            <a:ln w="25400">
              <a:solidFill>
                <a:srgbClr val="800000"/>
              </a:solidFill>
              <a:prstDash val="lgDash"/>
            </a:ln>
          </c:spPr>
          <c:marker>
            <c:symbol val="square"/>
            <c:size val="4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'4322'!$M$28:$N$36</c:f>
              <c:multiLvlStrCache>
                <c:ptCount val="9"/>
                <c:lvl>
                  <c:pt idx="0">
                    <c:v>Moût</c:v>
                  </c:pt>
                  <c:pt idx="1">
                    <c:v>Moût</c:v>
                  </c:pt>
                  <c:pt idx="2">
                    <c:v>Moût</c:v>
                  </c:pt>
                  <c:pt idx="4">
                    <c:v>Durée</c:v>
                  </c:pt>
                  <c:pt idx="5">
                    <c:v>Durée</c:v>
                  </c:pt>
                  <c:pt idx="7">
                    <c:v>Oxyg.</c:v>
                  </c:pt>
                  <c:pt idx="8">
                    <c:v>Oxyg.</c:v>
                  </c:pt>
                </c:lvl>
                <c:lvl>
                  <c:pt idx="0">
                    <c:v>10%</c:v>
                  </c:pt>
                  <c:pt idx="1">
                    <c:v>30%</c:v>
                  </c:pt>
                  <c:pt idx="2">
                    <c:v>50%</c:v>
                  </c:pt>
                  <c:pt idx="3">
                    <c:v> </c:v>
                  </c:pt>
                  <c:pt idx="4">
                    <c:v>1 h.</c:v>
                  </c:pt>
                  <c:pt idx="5">
                    <c:v>3 h.</c:v>
                  </c:pt>
                  <c:pt idx="6">
                    <c:v> </c:v>
                  </c:pt>
                  <c:pt idx="7">
                    <c:v>Non</c:v>
                  </c:pt>
                  <c:pt idx="8">
                    <c:v>Oui</c:v>
                  </c:pt>
                </c:lvl>
              </c:multiLvlStrCache>
            </c:multiLvlStrRef>
          </c:cat>
          <c:val>
            <c:numRef>
              <c:f>'4322'!$P$28:$P$36</c:f>
              <c:numCache>
                <c:formatCode>General</c:formatCode>
                <c:ptCount val="9"/>
                <c:pt idx="0">
                  <c:v>411.25</c:v>
                </c:pt>
                <c:pt idx="1">
                  <c:v>541.25</c:v>
                </c:pt>
                <c:pt idx="2">
                  <c:v>671.25</c:v>
                </c:pt>
                <c:pt idx="4">
                  <c:v>508.75</c:v>
                </c:pt>
                <c:pt idx="5">
                  <c:v>573.75</c:v>
                </c:pt>
                <c:pt idx="7">
                  <c:v>525</c:v>
                </c:pt>
                <c:pt idx="8">
                  <c:v>557.5</c:v>
                </c:pt>
              </c:numCache>
            </c:numRef>
          </c:val>
        </c:ser>
        <c:ser>
          <c:idx val="2"/>
          <c:order val="2"/>
          <c:tx>
            <c:strRef>
              <c:f>'4322'!$Q$26:$Q$27</c:f>
              <c:strCache>
                <c:ptCount val="1"/>
                <c:pt idx="0">
                  <c:v>Temp. 30°C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ysDash"/>
            </a:ln>
          </c:spPr>
          <c:marker>
            <c:symbol val="triangle"/>
            <c:size val="7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cat>
            <c:multiLvlStrRef>
              <c:f>'4322'!$M$28:$N$36</c:f>
              <c:multiLvlStrCache>
                <c:ptCount val="9"/>
                <c:lvl>
                  <c:pt idx="0">
                    <c:v>Moût</c:v>
                  </c:pt>
                  <c:pt idx="1">
                    <c:v>Moût</c:v>
                  </c:pt>
                  <c:pt idx="2">
                    <c:v>Moût</c:v>
                  </c:pt>
                  <c:pt idx="4">
                    <c:v>Durée</c:v>
                  </c:pt>
                  <c:pt idx="5">
                    <c:v>Durée</c:v>
                  </c:pt>
                  <c:pt idx="7">
                    <c:v>Oxyg.</c:v>
                  </c:pt>
                  <c:pt idx="8">
                    <c:v>Oxyg.</c:v>
                  </c:pt>
                </c:lvl>
                <c:lvl>
                  <c:pt idx="0">
                    <c:v>10%</c:v>
                  </c:pt>
                  <c:pt idx="1">
                    <c:v>30%</c:v>
                  </c:pt>
                  <c:pt idx="2">
                    <c:v>50%</c:v>
                  </c:pt>
                  <c:pt idx="3">
                    <c:v> </c:v>
                  </c:pt>
                  <c:pt idx="4">
                    <c:v>1 h.</c:v>
                  </c:pt>
                  <c:pt idx="5">
                    <c:v>3 h.</c:v>
                  </c:pt>
                  <c:pt idx="6">
                    <c:v> </c:v>
                  </c:pt>
                  <c:pt idx="7">
                    <c:v>Non</c:v>
                  </c:pt>
                  <c:pt idx="8">
                    <c:v>Oui</c:v>
                  </c:pt>
                </c:lvl>
              </c:multiLvlStrCache>
            </c:multiLvlStrRef>
          </c:cat>
          <c:val>
            <c:numRef>
              <c:f>'4322'!$Q$28:$Q$36</c:f>
              <c:numCache>
                <c:formatCode>General</c:formatCode>
                <c:ptCount val="9"/>
                <c:pt idx="0">
                  <c:v>801.25</c:v>
                </c:pt>
                <c:pt idx="1">
                  <c:v>931.25</c:v>
                </c:pt>
                <c:pt idx="2">
                  <c:v>1061.25</c:v>
                </c:pt>
                <c:pt idx="4">
                  <c:v>898.75</c:v>
                </c:pt>
                <c:pt idx="5">
                  <c:v>963.75</c:v>
                </c:pt>
                <c:pt idx="7">
                  <c:v>915</c:v>
                </c:pt>
                <c:pt idx="8">
                  <c:v>947.5</c:v>
                </c:pt>
              </c:numCache>
            </c:numRef>
          </c:val>
        </c:ser>
        <c:ser>
          <c:idx val="3"/>
          <c:order val="3"/>
          <c:tx>
            <c:strRef>
              <c:f>'4322'!$R$26:$R$27</c:f>
              <c:strCache>
                <c:ptCount val="1"/>
                <c:pt idx="0">
                  <c:v>Temp. 40°C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'4322'!$M$28:$N$36</c:f>
              <c:multiLvlStrCache>
                <c:ptCount val="9"/>
                <c:lvl>
                  <c:pt idx="0">
                    <c:v>Moût</c:v>
                  </c:pt>
                  <c:pt idx="1">
                    <c:v>Moût</c:v>
                  </c:pt>
                  <c:pt idx="2">
                    <c:v>Moût</c:v>
                  </c:pt>
                  <c:pt idx="4">
                    <c:v>Durée</c:v>
                  </c:pt>
                  <c:pt idx="5">
                    <c:v>Durée</c:v>
                  </c:pt>
                  <c:pt idx="7">
                    <c:v>Oxyg.</c:v>
                  </c:pt>
                  <c:pt idx="8">
                    <c:v>Oxyg.</c:v>
                  </c:pt>
                </c:lvl>
                <c:lvl>
                  <c:pt idx="0">
                    <c:v>10%</c:v>
                  </c:pt>
                  <c:pt idx="1">
                    <c:v>30%</c:v>
                  </c:pt>
                  <c:pt idx="2">
                    <c:v>50%</c:v>
                  </c:pt>
                  <c:pt idx="3">
                    <c:v> </c:v>
                  </c:pt>
                  <c:pt idx="4">
                    <c:v>1 h.</c:v>
                  </c:pt>
                  <c:pt idx="5">
                    <c:v>3 h.</c:v>
                  </c:pt>
                  <c:pt idx="6">
                    <c:v> </c:v>
                  </c:pt>
                  <c:pt idx="7">
                    <c:v>Non</c:v>
                  </c:pt>
                  <c:pt idx="8">
                    <c:v>Oui</c:v>
                  </c:pt>
                </c:lvl>
              </c:multiLvlStrCache>
            </c:multiLvlStrRef>
          </c:cat>
          <c:val>
            <c:numRef>
              <c:f>'4322'!$R$28:$R$36</c:f>
              <c:numCache>
                <c:formatCode>General</c:formatCode>
                <c:ptCount val="9"/>
                <c:pt idx="0">
                  <c:v>1191.25</c:v>
                </c:pt>
                <c:pt idx="1">
                  <c:v>1088.625</c:v>
                </c:pt>
                <c:pt idx="2">
                  <c:v>1451.25</c:v>
                </c:pt>
                <c:pt idx="4">
                  <c:v>1133.6666666666667</c:v>
                </c:pt>
                <c:pt idx="5">
                  <c:v>1353.75</c:v>
                </c:pt>
                <c:pt idx="7">
                  <c:v>1149.9166666666667</c:v>
                </c:pt>
                <c:pt idx="8">
                  <c:v>1337.5</c:v>
                </c:pt>
              </c:numCache>
            </c:numRef>
          </c:val>
        </c:ser>
        <c:marker val="1"/>
        <c:axId val="154533248"/>
        <c:axId val="154695168"/>
      </c:lineChart>
      <c:catAx>
        <c:axId val="1545332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4695168"/>
        <c:crosses val="autoZero"/>
        <c:auto val="1"/>
        <c:lblAlgn val="ctr"/>
        <c:lblOffset val="100"/>
        <c:tickLblSkip val="1"/>
        <c:tickMarkSkip val="1"/>
      </c:catAx>
      <c:valAx>
        <c:axId val="1546951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/>
                  <a:t>Réponses</a:t>
                </a:r>
              </a:p>
            </c:rich>
          </c:tx>
          <c:layout>
            <c:manualLayout>
              <c:xMode val="edge"/>
              <c:yMode val="edge"/>
              <c:x val="2.3809552946762597E-2"/>
              <c:y val="0.412767243913867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45332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362671771291748"/>
          <c:y val="0.33932324478337106"/>
          <c:w val="0.20384310513817375"/>
          <c:h val="0.2181253446715792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Interactions avec B</a:t>
            </a:r>
          </a:p>
        </c:rich>
      </c:tx>
      <c:layout>
        <c:manualLayout>
          <c:xMode val="edge"/>
          <c:yMode val="edge"/>
          <c:x val="0.36030391383274718"/>
          <c:y val="3.83632192635310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774333720550166"/>
          <c:y val="0.15686308073383437"/>
          <c:w val="0.58381191279792999"/>
          <c:h val="0.67263494237133514"/>
        </c:manualLayout>
      </c:layout>
      <c:lineChart>
        <c:grouping val="standard"/>
        <c:ser>
          <c:idx val="0"/>
          <c:order val="0"/>
          <c:tx>
            <c:strRef>
              <c:f>'4322'!$P$46:$P$47</c:f>
              <c:strCache>
                <c:ptCount val="1"/>
                <c:pt idx="0">
                  <c:v>Moût 10%</c:v>
                </c:pt>
              </c:strCache>
            </c:strRef>
          </c:tx>
          <c:spPr>
            <a:ln w="25400">
              <a:solidFill>
                <a:srgbClr val="008000"/>
              </a:solidFill>
              <a:prstDash val="lgDash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multiLvlStrRef>
              <c:f>'4322'!$N$48:$O$52</c:f>
              <c:multiLvlStrCache>
                <c:ptCount val="5"/>
                <c:lvl>
                  <c:pt idx="0">
                    <c:v>Durée</c:v>
                  </c:pt>
                  <c:pt idx="1">
                    <c:v>Durée</c:v>
                  </c:pt>
                  <c:pt idx="3">
                    <c:v>Oxyg.</c:v>
                  </c:pt>
                  <c:pt idx="4">
                    <c:v>Oxyg.</c:v>
                  </c:pt>
                </c:lvl>
                <c:lvl>
                  <c:pt idx="0">
                    <c:v>1 h.</c:v>
                  </c:pt>
                  <c:pt idx="1">
                    <c:v>3 h.</c:v>
                  </c:pt>
                  <c:pt idx="2">
                    <c:v> </c:v>
                  </c:pt>
                  <c:pt idx="3">
                    <c:v>Non</c:v>
                  </c:pt>
                  <c:pt idx="4">
                    <c:v>Oui</c:v>
                  </c:pt>
                </c:lvl>
              </c:multiLvlStrCache>
            </c:multiLvlStrRef>
          </c:cat>
          <c:val>
            <c:numRef>
              <c:f>'4322'!$P$48:$P$52</c:f>
              <c:numCache>
                <c:formatCode>General</c:formatCode>
                <c:ptCount val="5"/>
                <c:pt idx="0">
                  <c:v>617.9375</c:v>
                </c:pt>
                <c:pt idx="1">
                  <c:v>666.5625</c:v>
                </c:pt>
                <c:pt idx="3">
                  <c:v>625.125</c:v>
                </c:pt>
                <c:pt idx="4">
                  <c:v>659.375</c:v>
                </c:pt>
              </c:numCache>
            </c:numRef>
          </c:val>
        </c:ser>
        <c:ser>
          <c:idx val="1"/>
          <c:order val="1"/>
          <c:tx>
            <c:strRef>
              <c:f>'4322'!$Q$46:$Q$47</c:f>
              <c:strCache>
                <c:ptCount val="1"/>
                <c:pt idx="0">
                  <c:v>Moût 30%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ysDash"/>
            </a:ln>
          </c:spPr>
          <c:marker>
            <c:symbol val="square"/>
            <c:size val="4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multiLvlStrRef>
              <c:f>'4322'!$N$48:$O$52</c:f>
              <c:multiLvlStrCache>
                <c:ptCount val="5"/>
                <c:lvl>
                  <c:pt idx="0">
                    <c:v>Durée</c:v>
                  </c:pt>
                  <c:pt idx="1">
                    <c:v>Durée</c:v>
                  </c:pt>
                  <c:pt idx="3">
                    <c:v>Oxyg.</c:v>
                  </c:pt>
                  <c:pt idx="4">
                    <c:v>Oxyg.</c:v>
                  </c:pt>
                </c:lvl>
                <c:lvl>
                  <c:pt idx="0">
                    <c:v>1 h.</c:v>
                  </c:pt>
                  <c:pt idx="1">
                    <c:v>3 h.</c:v>
                  </c:pt>
                  <c:pt idx="2">
                    <c:v> </c:v>
                  </c:pt>
                  <c:pt idx="3">
                    <c:v>Non</c:v>
                  </c:pt>
                  <c:pt idx="4">
                    <c:v>Oui</c:v>
                  </c:pt>
                </c:lvl>
              </c:multiLvlStrCache>
            </c:multiLvlStrRef>
          </c:cat>
          <c:val>
            <c:numRef>
              <c:f>'4322'!$Q$48:$Q$52</c:f>
              <c:numCache>
                <c:formatCode>General</c:formatCode>
                <c:ptCount val="5"/>
                <c:pt idx="0">
                  <c:v>587.4375</c:v>
                </c:pt>
                <c:pt idx="1">
                  <c:v>768.75</c:v>
                </c:pt>
                <c:pt idx="3">
                  <c:v>603.6875</c:v>
                </c:pt>
                <c:pt idx="4">
                  <c:v>752.5</c:v>
                </c:pt>
              </c:numCache>
            </c:numRef>
          </c:val>
        </c:ser>
        <c:ser>
          <c:idx val="2"/>
          <c:order val="2"/>
          <c:tx>
            <c:strRef>
              <c:f>'4322'!$R$46:$R$47</c:f>
              <c:strCache>
                <c:ptCount val="1"/>
                <c:pt idx="0">
                  <c:v>Moût 50%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multiLvlStrRef>
              <c:f>'4322'!$N$48:$O$52</c:f>
              <c:multiLvlStrCache>
                <c:ptCount val="5"/>
                <c:lvl>
                  <c:pt idx="0">
                    <c:v>Durée</c:v>
                  </c:pt>
                  <c:pt idx="1">
                    <c:v>Durée</c:v>
                  </c:pt>
                  <c:pt idx="3">
                    <c:v>Oxyg.</c:v>
                  </c:pt>
                  <c:pt idx="4">
                    <c:v>Oxyg.</c:v>
                  </c:pt>
                </c:lvl>
                <c:lvl>
                  <c:pt idx="0">
                    <c:v>1 h.</c:v>
                  </c:pt>
                  <c:pt idx="1">
                    <c:v>3 h.</c:v>
                  </c:pt>
                  <c:pt idx="2">
                    <c:v> </c:v>
                  </c:pt>
                  <c:pt idx="3">
                    <c:v>Non</c:v>
                  </c:pt>
                  <c:pt idx="4">
                    <c:v>Oui</c:v>
                  </c:pt>
                </c:lvl>
              </c:multiLvlStrCache>
            </c:multiLvlStrRef>
          </c:cat>
          <c:val>
            <c:numRef>
              <c:f>'4322'!$R$48:$R$52</c:f>
              <c:numCache>
                <c:formatCode>General</c:formatCode>
                <c:ptCount val="5"/>
                <c:pt idx="0">
                  <c:v>833.75</c:v>
                </c:pt>
                <c:pt idx="1">
                  <c:v>898.75</c:v>
                </c:pt>
                <c:pt idx="3">
                  <c:v>850</c:v>
                </c:pt>
                <c:pt idx="4">
                  <c:v>882.5</c:v>
                </c:pt>
              </c:numCache>
            </c:numRef>
          </c:val>
        </c:ser>
        <c:marker val="1"/>
        <c:axId val="154536576"/>
        <c:axId val="154546944"/>
      </c:lineChart>
      <c:catAx>
        <c:axId val="1545365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4546944"/>
        <c:crosses val="autoZero"/>
        <c:auto val="1"/>
        <c:lblAlgn val="ctr"/>
        <c:lblOffset val="100"/>
        <c:tickLblSkip val="1"/>
        <c:tickMarkSkip val="1"/>
      </c:catAx>
      <c:valAx>
        <c:axId val="154546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/>
                  <a:t>Réponses</a:t>
                </a:r>
              </a:p>
            </c:rich>
          </c:tx>
          <c:layout>
            <c:manualLayout>
              <c:xMode val="edge"/>
              <c:yMode val="edge"/>
              <c:x val="2.4020260922183082E-2"/>
              <c:y val="0.40665012419342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453657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617283259222856"/>
          <c:y val="0.33764435757687378"/>
          <c:w val="0.22277005559226892"/>
          <c:h val="0.217343648055356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2.gi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hyperlink" Target="http://www.r-project.org/" TargetMode="External"/><Relationship Id="rId5" Type="http://schemas.openxmlformats.org/officeDocument/2006/relationships/image" Target="../media/image1.png"/><Relationship Id="rId4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7" Type="http://schemas.openxmlformats.org/officeDocument/2006/relationships/image" Target="../media/image2.gif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hyperlink" Target="http://www.r-project.org/" TargetMode="External"/><Relationship Id="rId5" Type="http://schemas.openxmlformats.org/officeDocument/2006/relationships/image" Target="../media/image1.png"/><Relationship Id="rId4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gif"/><Relationship Id="rId3" Type="http://schemas.openxmlformats.org/officeDocument/2006/relationships/chart" Target="../charts/chart9.xml"/><Relationship Id="rId7" Type="http://schemas.openxmlformats.org/officeDocument/2006/relationships/hyperlink" Target="http://www.r-project.org/" TargetMode="Externa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image" Target="../media/image1.png"/><Relationship Id="rId5" Type="http://schemas.openxmlformats.org/officeDocument/2006/relationships/hyperlink" Target="http://www.anastats.fr/" TargetMode="Externa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769620</xdr:colOff>
      <xdr:row>0</xdr:row>
      <xdr:rowOff>45720</xdr:rowOff>
    </xdr:from>
    <xdr:to>
      <xdr:col>5</xdr:col>
      <xdr:colOff>524259</xdr:colOff>
      <xdr:row>0</xdr:row>
      <xdr:rowOff>426721</xdr:rowOff>
    </xdr:to>
    <xdr:pic>
      <xdr:nvPicPr>
        <xdr:cNvPr id="4" name="Image 3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438400" y="4572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365760</xdr:colOff>
      <xdr:row>2</xdr:row>
      <xdr:rowOff>161364</xdr:rowOff>
    </xdr:from>
    <xdr:to>
      <xdr:col>24</xdr:col>
      <xdr:colOff>15240</xdr:colOff>
      <xdr:row>19</xdr:row>
      <xdr:rowOff>152401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10</xdr:col>
      <xdr:colOff>358140</xdr:colOff>
      <xdr:row>19</xdr:row>
      <xdr:rowOff>182880</xdr:rowOff>
    </xdr:from>
    <xdr:to>
      <xdr:col>23</xdr:col>
      <xdr:colOff>647700</xdr:colOff>
      <xdr:row>35</xdr:row>
      <xdr:rowOff>114300</xdr:rowOff>
    </xdr:to>
    <xdr:graphicFrame macro="">
      <xdr:nvGraphicFramePr>
        <xdr:cNvPr id="40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10</xdr:col>
      <xdr:colOff>358140</xdr:colOff>
      <xdr:row>35</xdr:row>
      <xdr:rowOff>144780</xdr:rowOff>
    </xdr:from>
    <xdr:to>
      <xdr:col>22</xdr:col>
      <xdr:colOff>7620</xdr:colOff>
      <xdr:row>52</xdr:row>
      <xdr:rowOff>0</xdr:rowOff>
    </xdr:to>
    <xdr:graphicFrame macro="">
      <xdr:nvGraphicFramePr>
        <xdr:cNvPr id="40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80685</xdr:colOff>
      <xdr:row>0</xdr:row>
      <xdr:rowOff>98609</xdr:rowOff>
    </xdr:from>
    <xdr:to>
      <xdr:col>1</xdr:col>
      <xdr:colOff>569085</xdr:colOff>
      <xdr:row>2</xdr:row>
      <xdr:rowOff>103092</xdr:rowOff>
    </xdr:to>
    <xdr:pic>
      <xdr:nvPicPr>
        <xdr:cNvPr id="6" name="Image 5" descr="AnaStats_base-line moye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0685" y="98609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8</xdr:col>
      <xdr:colOff>546865</xdr:colOff>
      <xdr:row>169</xdr:row>
      <xdr:rowOff>0</xdr:rowOff>
    </xdr:from>
    <xdr:to>
      <xdr:col>8</xdr:col>
      <xdr:colOff>770983</xdr:colOff>
      <xdr:row>169</xdr:row>
      <xdr:rowOff>170597</xdr:rowOff>
    </xdr:to>
    <xdr:pic>
      <xdr:nvPicPr>
        <xdr:cNvPr id="7" name="Image 6" descr="Logo-R_fondTransparent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198677" y="29413200"/>
          <a:ext cx="224118" cy="17059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343349</xdr:colOff>
      <xdr:row>3</xdr:row>
      <xdr:rowOff>1</xdr:rowOff>
    </xdr:from>
    <xdr:to>
      <xdr:col>25</xdr:col>
      <xdr:colOff>10758</xdr:colOff>
      <xdr:row>21</xdr:row>
      <xdr:rowOff>91440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10</xdr:col>
      <xdr:colOff>342004</xdr:colOff>
      <xdr:row>21</xdr:row>
      <xdr:rowOff>115645</xdr:rowOff>
    </xdr:from>
    <xdr:to>
      <xdr:col>25</xdr:col>
      <xdr:colOff>0</xdr:colOff>
      <xdr:row>39</xdr:row>
      <xdr:rowOff>31825</xdr:rowOff>
    </xdr:to>
    <xdr:graphicFrame macro="">
      <xdr:nvGraphicFramePr>
        <xdr:cNvPr id="307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10</xdr:col>
      <xdr:colOff>340659</xdr:colOff>
      <xdr:row>39</xdr:row>
      <xdr:rowOff>47065</xdr:rowOff>
    </xdr:from>
    <xdr:to>
      <xdr:col>23</xdr:col>
      <xdr:colOff>44823</xdr:colOff>
      <xdr:row>55</xdr:row>
      <xdr:rowOff>115645</xdr:rowOff>
    </xdr:to>
    <xdr:graphicFrame macro="">
      <xdr:nvGraphicFramePr>
        <xdr:cNvPr id="30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 editAs="oneCell">
    <xdr:from>
      <xdr:col>0</xdr:col>
      <xdr:colOff>62755</xdr:colOff>
      <xdr:row>0</xdr:row>
      <xdr:rowOff>80679</xdr:rowOff>
    </xdr:from>
    <xdr:to>
      <xdr:col>1</xdr:col>
      <xdr:colOff>434614</xdr:colOff>
      <xdr:row>2</xdr:row>
      <xdr:rowOff>85162</xdr:rowOff>
    </xdr:to>
    <xdr:pic>
      <xdr:nvPicPr>
        <xdr:cNvPr id="7" name="Image 6" descr="AnaStats_base-line moyen.png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2755" y="80679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8</xdr:col>
      <xdr:colOff>537900</xdr:colOff>
      <xdr:row>217</xdr:row>
      <xdr:rowOff>0</xdr:rowOff>
    </xdr:from>
    <xdr:to>
      <xdr:col>8</xdr:col>
      <xdr:colOff>762018</xdr:colOff>
      <xdr:row>217</xdr:row>
      <xdr:rowOff>170597</xdr:rowOff>
    </xdr:to>
    <xdr:pic>
      <xdr:nvPicPr>
        <xdr:cNvPr id="6" name="Image 5" descr="Logo-R_fondTransparent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225571" y="37857953"/>
          <a:ext cx="224118" cy="1705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510540</xdr:colOff>
      <xdr:row>2</xdr:row>
      <xdr:rowOff>130629</xdr:rowOff>
    </xdr:from>
    <xdr:to>
      <xdr:col>27</xdr:col>
      <xdr:colOff>213360</xdr:colOff>
      <xdr:row>21</xdr:row>
      <xdr:rowOff>167640</xdr:rowOff>
    </xdr:to>
    <xdr:graphicFrame macro="">
      <xdr:nvGraphicFramePr>
        <xdr:cNvPr id="205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11</xdr:col>
      <xdr:colOff>507275</xdr:colOff>
      <xdr:row>22</xdr:row>
      <xdr:rowOff>4353</xdr:rowOff>
    </xdr:from>
    <xdr:to>
      <xdr:col>26</xdr:col>
      <xdr:colOff>210095</xdr:colOff>
      <xdr:row>41</xdr:row>
      <xdr:rowOff>102325</xdr:rowOff>
    </xdr:to>
    <xdr:graphicFrame macro="">
      <xdr:nvGraphicFramePr>
        <xdr:cNvPr id="205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11</xdr:col>
      <xdr:colOff>525780</xdr:colOff>
      <xdr:row>41</xdr:row>
      <xdr:rowOff>106680</xdr:rowOff>
    </xdr:from>
    <xdr:to>
      <xdr:col>24</xdr:col>
      <xdr:colOff>190500</xdr:colOff>
      <xdr:row>57</xdr:row>
      <xdr:rowOff>160020</xdr:rowOff>
    </xdr:to>
    <xdr:graphicFrame macro="">
      <xdr:nvGraphicFramePr>
        <xdr:cNvPr id="205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11</xdr:col>
      <xdr:colOff>541020</xdr:colOff>
      <xdr:row>57</xdr:row>
      <xdr:rowOff>175260</xdr:rowOff>
    </xdr:from>
    <xdr:to>
      <xdr:col>21</xdr:col>
      <xdr:colOff>121920</xdr:colOff>
      <xdr:row>76</xdr:row>
      <xdr:rowOff>76200</xdr:rowOff>
    </xdr:to>
    <xdr:graphicFrame macro="">
      <xdr:nvGraphicFramePr>
        <xdr:cNvPr id="2056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 editAs="oneCell">
    <xdr:from>
      <xdr:col>0</xdr:col>
      <xdr:colOff>87088</xdr:colOff>
      <xdr:row>0</xdr:row>
      <xdr:rowOff>87084</xdr:rowOff>
    </xdr:from>
    <xdr:to>
      <xdr:col>1</xdr:col>
      <xdr:colOff>415404</xdr:colOff>
      <xdr:row>2</xdr:row>
      <xdr:rowOff>97971</xdr:rowOff>
    </xdr:to>
    <xdr:pic>
      <xdr:nvPicPr>
        <xdr:cNvPr id="7" name="Image 6" descr="AnaStats_base-line moyen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7088" y="87084"/>
          <a:ext cx="1438659" cy="381001"/>
        </a:xfrm>
        <a:prstGeom prst="rect">
          <a:avLst/>
        </a:prstGeom>
      </xdr:spPr>
    </xdr:pic>
    <xdr:clientData/>
  </xdr:twoCellAnchor>
  <xdr:twoCellAnchor editAs="oneCell">
    <xdr:from>
      <xdr:col>8</xdr:col>
      <xdr:colOff>600655</xdr:colOff>
      <xdr:row>314</xdr:row>
      <xdr:rowOff>0</xdr:rowOff>
    </xdr:from>
    <xdr:to>
      <xdr:col>8</xdr:col>
      <xdr:colOff>824773</xdr:colOff>
      <xdr:row>314</xdr:row>
      <xdr:rowOff>170597</xdr:rowOff>
    </xdr:to>
    <xdr:pic>
      <xdr:nvPicPr>
        <xdr:cNvPr id="8" name="Image 7" descr="Logo-R_fondTransparent.gif">
          <a:hlinkClick xmlns:r="http://schemas.openxmlformats.org/officeDocument/2006/relationships" r:id="rId7"/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7628984" y="56441788"/>
          <a:ext cx="224118" cy="1705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7/KRO/DESCR9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SCR96"/>
      <sheetName val="3n 2n 2n 2n"/>
      <sheetName val="2n 3n 3n"/>
      <sheetName val="3n 3n 3n"/>
      <sheetName val="3n 3n 2n 2n 2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lepape.gilles@anastats.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anastats.fr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mailto:info@anastats.f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nfo@anastats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A55"/>
  <sheetViews>
    <sheetView workbookViewId="0">
      <selection activeCell="B2" sqref="B2:H2"/>
    </sheetView>
  </sheetViews>
  <sheetFormatPr baseColWidth="10" defaultRowHeight="13.2"/>
  <cols>
    <col min="1" max="1" width="5.6640625" style="8" customWidth="1"/>
    <col min="2" max="2" width="7.109375" style="8" customWidth="1"/>
    <col min="3" max="4" width="11.5546875" style="8"/>
    <col min="5" max="5" width="13" style="8" customWidth="1"/>
    <col min="6" max="6" width="10.109375" style="8" customWidth="1"/>
    <col min="7" max="8" width="13" style="8" customWidth="1"/>
    <col min="9" max="27" width="12.44140625" style="8" hidden="1" customWidth="1"/>
    <col min="28" max="16384" width="11.5546875" style="8"/>
  </cols>
  <sheetData>
    <row r="1" spans="2:8" ht="42.6" customHeight="1"/>
    <row r="2" spans="2:8" ht="14.4" customHeight="1">
      <c r="B2" s="173" t="s">
        <v>52</v>
      </c>
      <c r="C2" s="173"/>
      <c r="D2" s="173"/>
      <c r="E2" s="173"/>
      <c r="F2" s="173"/>
      <c r="G2" s="173"/>
      <c r="H2" s="173"/>
    </row>
    <row r="4" spans="2:8">
      <c r="B4" s="144" t="s">
        <v>53</v>
      </c>
    </row>
    <row r="5" spans="2:8">
      <c r="B5" s="144" t="s">
        <v>54</v>
      </c>
    </row>
    <row r="6" spans="2:8">
      <c r="B6" s="144" t="s">
        <v>152</v>
      </c>
    </row>
    <row r="7" spans="2:8">
      <c r="B7" s="144" t="s">
        <v>55</v>
      </c>
    </row>
    <row r="8" spans="2:8">
      <c r="B8" s="144"/>
    </row>
    <row r="9" spans="2:8">
      <c r="B9" s="144" t="s">
        <v>56</v>
      </c>
    </row>
    <row r="10" spans="2:8">
      <c r="B10" s="144" t="s">
        <v>121</v>
      </c>
    </row>
    <row r="11" spans="2:8">
      <c r="B11" s="144" t="s">
        <v>57</v>
      </c>
    </row>
    <row r="12" spans="2:8">
      <c r="B12" s="144" t="s">
        <v>153</v>
      </c>
    </row>
    <row r="13" spans="2:8">
      <c r="B13" s="144" t="s">
        <v>184</v>
      </c>
    </row>
    <row r="14" spans="2:8">
      <c r="B14" s="144" t="s">
        <v>185</v>
      </c>
    </row>
    <row r="15" spans="2:8">
      <c r="B15" s="144"/>
    </row>
    <row r="16" spans="2:8">
      <c r="B16" s="144" t="s">
        <v>58</v>
      </c>
    </row>
    <row r="17" spans="2:27">
      <c r="B17" s="144" t="s">
        <v>59</v>
      </c>
    </row>
    <row r="18" spans="2:27">
      <c r="B18" s="145" t="str">
        <f>IF(J20&gt;0,"ATTENTION : il ne peut y avoir de facteur à un seul niveau","")</f>
        <v/>
      </c>
    </row>
    <row r="19" spans="2:27">
      <c r="B19" s="145" t="str">
        <f>IF(J21&gt;0,"ATTENTION : le nombre maximal de niveaux est 20","")</f>
        <v/>
      </c>
    </row>
    <row r="20" spans="2:27">
      <c r="C20" s="150" t="s">
        <v>60</v>
      </c>
      <c r="D20" s="151"/>
      <c r="E20" s="152"/>
      <c r="H20" s="20"/>
      <c r="I20" s="144" t="s">
        <v>61</v>
      </c>
      <c r="J20" s="8">
        <f>COUNTIF(D24:D53,1)</f>
        <v>0</v>
      </c>
    </row>
    <row r="21" spans="2:27">
      <c r="C21" s="153" t="s">
        <v>122</v>
      </c>
      <c r="D21" s="154"/>
      <c r="E21" s="155">
        <f>I26*J26*K26*L26*M26*N26*O26*P26*Q26*R26*S26*T26*U26*V26*W26*X26*Y26*Z26*AA26</f>
        <v>24</v>
      </c>
      <c r="H21" s="20"/>
      <c r="I21" s="144" t="s">
        <v>62</v>
      </c>
      <c r="J21" s="8">
        <f>COUNTIF(D24:D53,"&gt;20")</f>
        <v>0</v>
      </c>
    </row>
    <row r="23" spans="2:27">
      <c r="C23" s="146" t="s">
        <v>2</v>
      </c>
      <c r="D23" s="10" t="s">
        <v>63</v>
      </c>
      <c r="E23" s="144"/>
      <c r="F23" s="144"/>
      <c r="G23" s="144"/>
      <c r="I23" s="147" t="s">
        <v>64</v>
      </c>
      <c r="J23" s="147" t="s">
        <v>65</v>
      </c>
      <c r="K23" s="147" t="s">
        <v>66</v>
      </c>
      <c r="L23" s="147" t="s">
        <v>67</v>
      </c>
      <c r="M23" s="147" t="s">
        <v>68</v>
      </c>
      <c r="N23" s="147" t="s">
        <v>69</v>
      </c>
      <c r="O23" s="147" t="s">
        <v>70</v>
      </c>
      <c r="P23" s="147" t="s">
        <v>71</v>
      </c>
      <c r="Q23" s="147" t="s">
        <v>72</v>
      </c>
      <c r="R23" s="147" t="s">
        <v>73</v>
      </c>
      <c r="S23" s="147" t="s">
        <v>74</v>
      </c>
      <c r="T23" s="147" t="s">
        <v>75</v>
      </c>
      <c r="U23" s="147" t="s">
        <v>76</v>
      </c>
      <c r="V23" s="147" t="s">
        <v>77</v>
      </c>
      <c r="W23" s="147" t="s">
        <v>78</v>
      </c>
      <c r="X23" s="147" t="s">
        <v>79</v>
      </c>
      <c r="Y23" s="147" t="s">
        <v>80</v>
      </c>
      <c r="Z23" s="147" t="s">
        <v>81</v>
      </c>
      <c r="AA23" s="147" t="s">
        <v>82</v>
      </c>
    </row>
    <row r="24" spans="2:27">
      <c r="C24" s="148" t="s">
        <v>83</v>
      </c>
      <c r="D24" s="1">
        <v>3</v>
      </c>
      <c r="I24" s="108">
        <f>COUNTIF($D$24:$D$53,2)</f>
        <v>3</v>
      </c>
      <c r="J24" s="108">
        <f>COUNTIF($D$24:$D$53,3)</f>
        <v>1</v>
      </c>
      <c r="K24" s="108">
        <f>COUNTIF($D$24:$D$53,4)</f>
        <v>0</v>
      </c>
      <c r="L24" s="108">
        <f>COUNTIF($D$24:$D$53,5)</f>
        <v>0</v>
      </c>
      <c r="M24" s="108">
        <f>COUNTIF($D$24:$D$53,6)</f>
        <v>0</v>
      </c>
      <c r="N24" s="108">
        <f>COUNTIF($D$24:$D$53,7)</f>
        <v>0</v>
      </c>
      <c r="O24" s="108">
        <f>COUNTIF($D$24:$D$53,8)</f>
        <v>0</v>
      </c>
      <c r="P24" s="108">
        <f>COUNTIF($D$24:$D$53,9)</f>
        <v>0</v>
      </c>
      <c r="Q24" s="108">
        <f>COUNTIF($D$24:$D$53,10)</f>
        <v>0</v>
      </c>
      <c r="R24" s="108">
        <f>COUNTIF($D$24:$D$53,11)</f>
        <v>0</v>
      </c>
      <c r="S24" s="108">
        <f>COUNTIF($D$24:$D$53,12)</f>
        <v>0</v>
      </c>
      <c r="T24" s="108">
        <f>COUNTIF($D$24:$D$53,13)</f>
        <v>0</v>
      </c>
      <c r="U24" s="108">
        <f>COUNTIF($D$24:$D$53,14)</f>
        <v>0</v>
      </c>
      <c r="V24" s="108">
        <f>COUNTIF($D$24:$D$53,15)</f>
        <v>0</v>
      </c>
      <c r="W24" s="108">
        <f>COUNTIF($D$24:$D$53,16)</f>
        <v>0</v>
      </c>
      <c r="X24" s="108">
        <f>COUNTIF($D$24:$D$53,17)</f>
        <v>0</v>
      </c>
      <c r="Y24" s="108">
        <f>COUNTIF($D$24:$D$53,18)</f>
        <v>0</v>
      </c>
      <c r="Z24" s="108">
        <f>COUNTIF($D$24:$D$53,19)</f>
        <v>0</v>
      </c>
      <c r="AA24" s="108">
        <f>COUNTIF($D$24:$D$53,20)</f>
        <v>0</v>
      </c>
    </row>
    <row r="25" spans="2:27">
      <c r="C25" s="148" t="s">
        <v>84</v>
      </c>
      <c r="D25" s="1">
        <v>2</v>
      </c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</row>
    <row r="26" spans="2:27">
      <c r="C26" s="148" t="s">
        <v>85</v>
      </c>
      <c r="D26" s="1">
        <v>2</v>
      </c>
      <c r="I26" s="108">
        <f>IF(I24&gt;0,2^I24,1)</f>
        <v>8</v>
      </c>
      <c r="J26" s="108">
        <f>IF(J24&gt;0,3^J24,1)</f>
        <v>3</v>
      </c>
      <c r="K26" s="108">
        <f>IF(K24&gt;0,4^K24,1)</f>
        <v>1</v>
      </c>
      <c r="L26" s="108">
        <f>IF(L24&gt;0,5^L24,1)</f>
        <v>1</v>
      </c>
      <c r="M26" s="108">
        <f>IF(M24&gt;0,6^M24,1)</f>
        <v>1</v>
      </c>
      <c r="N26" s="108">
        <f>IF(N24&gt;0,7^N24,1)</f>
        <v>1</v>
      </c>
      <c r="O26" s="108">
        <f>IF(O24&gt;0,8^O24,1)</f>
        <v>1</v>
      </c>
      <c r="P26" s="108">
        <f>IF(P24&gt;0,9^P24,1)</f>
        <v>1</v>
      </c>
      <c r="Q26" s="108">
        <f>IF(Q24&gt;0,10^Q24,1)</f>
        <v>1</v>
      </c>
      <c r="R26" s="108">
        <f>IF(R24&gt;0,11^R24,1)</f>
        <v>1</v>
      </c>
      <c r="S26" s="108">
        <f>IF(S24&gt;0,12^S24,1)</f>
        <v>1</v>
      </c>
      <c r="T26" s="108">
        <f>IF(T24&gt;0,13^T24,1)</f>
        <v>1</v>
      </c>
      <c r="U26" s="108">
        <f>IF(U24&gt;0,14^U24,1)</f>
        <v>1</v>
      </c>
      <c r="V26" s="108">
        <f>IF(V24&gt;0,15^V24,1)</f>
        <v>1</v>
      </c>
      <c r="W26" s="108">
        <f>IF(W24&gt;0,16^W24,1)</f>
        <v>1</v>
      </c>
      <c r="X26" s="108">
        <f>IF(X24&gt;0,17^X24,1)</f>
        <v>1</v>
      </c>
      <c r="Y26" s="108">
        <f>IF(Y24&gt;0,18^Y24,1)</f>
        <v>1</v>
      </c>
      <c r="Z26" s="108">
        <f>IF(Z24&gt;0,19^Z24,1)</f>
        <v>1</v>
      </c>
      <c r="AA26" s="108">
        <f>IF(AA24&gt;0,20^AA24,1)</f>
        <v>1</v>
      </c>
    </row>
    <row r="27" spans="2:27">
      <c r="C27" s="148" t="s">
        <v>86</v>
      </c>
      <c r="D27" s="1">
        <v>2</v>
      </c>
    </row>
    <row r="28" spans="2:27">
      <c r="C28" s="148" t="s">
        <v>87</v>
      </c>
      <c r="D28" s="1">
        <v>0</v>
      </c>
    </row>
    <row r="29" spans="2:27">
      <c r="C29" s="148" t="s">
        <v>88</v>
      </c>
      <c r="D29" s="1">
        <v>0</v>
      </c>
    </row>
    <row r="30" spans="2:27">
      <c r="C30" s="148" t="s">
        <v>89</v>
      </c>
      <c r="D30" s="1">
        <v>0</v>
      </c>
    </row>
    <row r="31" spans="2:27">
      <c r="C31" s="148" t="s">
        <v>90</v>
      </c>
      <c r="D31" s="1">
        <v>0</v>
      </c>
    </row>
    <row r="32" spans="2:27">
      <c r="C32" s="148" t="s">
        <v>91</v>
      </c>
      <c r="D32" s="1">
        <v>0</v>
      </c>
    </row>
    <row r="33" spans="3:4">
      <c r="C33" s="148" t="s">
        <v>92</v>
      </c>
      <c r="D33" s="1">
        <v>0</v>
      </c>
    </row>
    <row r="34" spans="3:4">
      <c r="C34" s="148" t="s">
        <v>93</v>
      </c>
      <c r="D34" s="1">
        <v>0</v>
      </c>
    </row>
    <row r="35" spans="3:4">
      <c r="C35" s="148" t="s">
        <v>94</v>
      </c>
      <c r="D35" s="1">
        <v>0</v>
      </c>
    </row>
    <row r="36" spans="3:4">
      <c r="C36" s="148" t="s">
        <v>95</v>
      </c>
      <c r="D36" s="1">
        <v>0</v>
      </c>
    </row>
    <row r="37" spans="3:4">
      <c r="C37" s="148" t="s">
        <v>96</v>
      </c>
      <c r="D37" s="1">
        <v>0</v>
      </c>
    </row>
    <row r="38" spans="3:4">
      <c r="C38" s="148" t="s">
        <v>97</v>
      </c>
      <c r="D38" s="1">
        <v>0</v>
      </c>
    </row>
    <row r="39" spans="3:4">
      <c r="C39" s="148" t="s">
        <v>98</v>
      </c>
      <c r="D39" s="1">
        <v>0</v>
      </c>
    </row>
    <row r="40" spans="3:4">
      <c r="C40" s="148" t="s">
        <v>99</v>
      </c>
      <c r="D40" s="1">
        <v>0</v>
      </c>
    </row>
    <row r="41" spans="3:4">
      <c r="C41" s="148" t="s">
        <v>100</v>
      </c>
      <c r="D41" s="1">
        <v>0</v>
      </c>
    </row>
    <row r="42" spans="3:4">
      <c r="C42" s="148" t="s">
        <v>101</v>
      </c>
      <c r="D42" s="1">
        <v>0</v>
      </c>
    </row>
    <row r="43" spans="3:4">
      <c r="C43" s="148" t="s">
        <v>102</v>
      </c>
      <c r="D43" s="1">
        <v>0</v>
      </c>
    </row>
    <row r="44" spans="3:4">
      <c r="C44" s="148" t="s">
        <v>103</v>
      </c>
      <c r="D44" s="1">
        <v>0</v>
      </c>
    </row>
    <row r="45" spans="3:4">
      <c r="C45" s="148" t="s">
        <v>104</v>
      </c>
      <c r="D45" s="1">
        <v>0</v>
      </c>
    </row>
    <row r="46" spans="3:4">
      <c r="C46" s="148" t="s">
        <v>105</v>
      </c>
      <c r="D46" s="1">
        <v>0</v>
      </c>
    </row>
    <row r="47" spans="3:4">
      <c r="C47" s="148" t="s">
        <v>106</v>
      </c>
      <c r="D47" s="1">
        <v>0</v>
      </c>
    </row>
    <row r="48" spans="3:4">
      <c r="C48" s="148" t="s">
        <v>107</v>
      </c>
      <c r="D48" s="1">
        <v>0</v>
      </c>
    </row>
    <row r="49" spans="2:4">
      <c r="C49" s="148" t="s">
        <v>108</v>
      </c>
      <c r="D49" s="1">
        <v>0</v>
      </c>
    </row>
    <row r="50" spans="2:4">
      <c r="C50" s="148" t="s">
        <v>109</v>
      </c>
      <c r="D50" s="1">
        <v>0</v>
      </c>
    </row>
    <row r="51" spans="2:4">
      <c r="C51" s="148" t="s">
        <v>110</v>
      </c>
      <c r="D51" s="1">
        <v>0</v>
      </c>
    </row>
    <row r="52" spans="2:4">
      <c r="C52" s="148" t="s">
        <v>111</v>
      </c>
      <c r="D52" s="1">
        <v>0</v>
      </c>
    </row>
    <row r="53" spans="2:4">
      <c r="C53" s="148" t="s">
        <v>112</v>
      </c>
      <c r="D53" s="1">
        <v>0</v>
      </c>
    </row>
    <row r="55" spans="2:4">
      <c r="B55" s="149" t="s">
        <v>113</v>
      </c>
    </row>
  </sheetData>
  <sheetProtection sheet="1" objects="1" scenarios="1"/>
  <mergeCells count="1">
    <mergeCell ref="B2:H2"/>
  </mergeCells>
  <hyperlinks>
    <hyperlink ref="B55" r:id="rId1" display="Conatct : lepape.gilles@anastats.fr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3"/>
  <dimension ref="A2:IV214"/>
  <sheetViews>
    <sheetView tabSelected="1" zoomScale="85" workbookViewId="0">
      <selection activeCell="D2" sqref="D2:H5"/>
    </sheetView>
  </sheetViews>
  <sheetFormatPr baseColWidth="10" defaultRowHeight="13.2"/>
  <cols>
    <col min="1" max="1" width="13.88671875" style="8" customWidth="1"/>
    <col min="2" max="2" width="15.109375" style="8" customWidth="1"/>
    <col min="3" max="3" width="10.33203125" style="8" customWidth="1"/>
    <col min="4" max="4" width="12.44140625" style="8" bestFit="1" customWidth="1"/>
    <col min="5" max="5" width="11.5546875" style="8"/>
    <col min="6" max="6" width="10.44140625" style="8" customWidth="1"/>
    <col min="7" max="10" width="11.6640625" style="8" customWidth="1"/>
    <col min="11" max="11" width="5.77734375" style="8" customWidth="1"/>
    <col min="12" max="12" width="11" style="8" customWidth="1"/>
    <col min="13" max="13" width="8.6640625" style="8" customWidth="1"/>
    <col min="14" max="14" width="7.44140625" style="8" customWidth="1"/>
    <col min="15" max="15" width="7.5546875" style="8" customWidth="1"/>
    <col min="16" max="16" width="8.6640625" style="8" customWidth="1"/>
    <col min="17" max="17" width="6.5546875" style="8" customWidth="1"/>
    <col min="18" max="23" width="5" style="8" customWidth="1"/>
    <col min="24" max="16384" width="11.5546875" style="8"/>
  </cols>
  <sheetData>
    <row r="2" spans="1:256" ht="16.2">
      <c r="D2" s="176" t="s">
        <v>147</v>
      </c>
      <c r="E2" s="176"/>
      <c r="F2" s="176"/>
      <c r="G2" s="176"/>
      <c r="H2" s="176"/>
    </row>
    <row r="3" spans="1:256" ht="16.2">
      <c r="D3" s="176" t="s">
        <v>134</v>
      </c>
      <c r="E3" s="176"/>
      <c r="F3" s="176"/>
      <c r="G3" s="176"/>
      <c r="H3" s="176"/>
    </row>
    <row r="4" spans="1:256" ht="16.2">
      <c r="D4" s="176" t="s">
        <v>133</v>
      </c>
      <c r="E4" s="176"/>
      <c r="F4" s="176"/>
      <c r="G4" s="176"/>
      <c r="H4" s="176"/>
    </row>
    <row r="5" spans="1:256" ht="16.2">
      <c r="D5" s="176" t="s">
        <v>151</v>
      </c>
      <c r="E5" s="176"/>
      <c r="F5" s="176"/>
      <c r="G5" s="176"/>
      <c r="H5" s="176"/>
    </row>
    <row r="6" spans="1:256" ht="13.8" thickBot="1"/>
    <row r="7" spans="1:256" ht="14.4" thickBot="1">
      <c r="A7" s="35" t="s">
        <v>1</v>
      </c>
      <c r="B7" s="36"/>
      <c r="C7" s="36"/>
      <c r="D7" s="36"/>
      <c r="E7" s="36"/>
      <c r="F7" s="40"/>
    </row>
    <row r="8" spans="1:256">
      <c r="A8" s="37"/>
      <c r="B8" s="38" t="s">
        <v>2</v>
      </c>
      <c r="C8" s="38" t="s">
        <v>3</v>
      </c>
      <c r="D8" s="38" t="s">
        <v>4</v>
      </c>
      <c r="E8" s="38" t="s">
        <v>5</v>
      </c>
      <c r="F8" s="41" t="s">
        <v>41</v>
      </c>
      <c r="H8" s="177" t="s">
        <v>6</v>
      </c>
      <c r="I8" s="178"/>
      <c r="J8" s="11"/>
      <c r="K8" s="122"/>
      <c r="L8" s="9"/>
      <c r="M8" s="123" t="str">
        <f>C9</f>
        <v>10°C</v>
      </c>
      <c r="N8" s="123" t="str">
        <f>D9</f>
        <v>20°C</v>
      </c>
      <c r="O8" s="123" t="str">
        <f>E9</f>
        <v>30°C</v>
      </c>
      <c r="P8" s="123" t="str">
        <f>F9</f>
        <v>40°C</v>
      </c>
      <c r="Q8" s="108" t="s">
        <v>49</v>
      </c>
      <c r="R8" s="123" t="str">
        <f>C10</f>
        <v>10%</v>
      </c>
      <c r="S8" s="123" t="str">
        <f>D10</f>
        <v>30%</v>
      </c>
      <c r="T8" s="123" t="str">
        <f>E10</f>
        <v>50%</v>
      </c>
      <c r="U8" s="108" t="s">
        <v>50</v>
      </c>
      <c r="V8" s="123" t="str">
        <f>C11</f>
        <v>1 h.</v>
      </c>
      <c r="W8" s="123" t="str">
        <f>D11</f>
        <v>3 h.</v>
      </c>
    </row>
    <row r="9" spans="1:256">
      <c r="A9" s="39" t="s">
        <v>7</v>
      </c>
      <c r="B9" s="53" t="s">
        <v>120</v>
      </c>
      <c r="C9" s="54" t="s">
        <v>27</v>
      </c>
      <c r="D9" s="54" t="s">
        <v>28</v>
      </c>
      <c r="E9" s="54" t="s">
        <v>24</v>
      </c>
      <c r="F9" s="55" t="s">
        <v>43</v>
      </c>
      <c r="H9" s="179" t="s">
        <v>115</v>
      </c>
      <c r="I9" s="180"/>
      <c r="J9" s="11"/>
      <c r="K9" s="11"/>
      <c r="L9" s="9"/>
      <c r="M9" s="123" t="str">
        <f>B9</f>
        <v>Temp.</v>
      </c>
      <c r="N9" s="123" t="str">
        <f>B9</f>
        <v>Temp.</v>
      </c>
      <c r="O9" s="123" t="str">
        <f>B9</f>
        <v>Temp.</v>
      </c>
      <c r="P9" s="123" t="str">
        <f>B9</f>
        <v>Temp.</v>
      </c>
      <c r="Q9" s="108"/>
      <c r="R9" s="123" t="str">
        <f>B10</f>
        <v>Moût</v>
      </c>
      <c r="S9" s="123" t="str">
        <f>B10</f>
        <v>Moût</v>
      </c>
      <c r="T9" s="123" t="str">
        <f>B10</f>
        <v>Moût</v>
      </c>
      <c r="U9" s="108"/>
      <c r="V9" s="123" t="str">
        <f>B11</f>
        <v>Durée</v>
      </c>
      <c r="W9" s="123" t="str">
        <f>B11</f>
        <v>Durée</v>
      </c>
    </row>
    <row r="10" spans="1:256" ht="13.8" thickBot="1">
      <c r="A10" s="39" t="s">
        <v>8</v>
      </c>
      <c r="B10" s="54" t="s">
        <v>29</v>
      </c>
      <c r="C10" s="54" t="s">
        <v>30</v>
      </c>
      <c r="D10" s="54" t="s">
        <v>31</v>
      </c>
      <c r="E10" s="54" t="s">
        <v>44</v>
      </c>
      <c r="F10" s="42"/>
      <c r="H10" s="174" t="s">
        <v>9</v>
      </c>
      <c r="I10" s="175"/>
      <c r="J10" s="11"/>
      <c r="K10" s="11"/>
      <c r="L10" s="16" t="s">
        <v>2</v>
      </c>
      <c r="M10" s="124">
        <f>B40+C40</f>
        <v>199.33333333333337</v>
      </c>
      <c r="N10" s="124">
        <f>B41+C41</f>
        <v>541.25</v>
      </c>
      <c r="O10" s="124">
        <f>B42+C42</f>
        <v>931.25</v>
      </c>
      <c r="P10" s="124">
        <f>B43+C43</f>
        <v>1166.1666666666667</v>
      </c>
      <c r="Q10" s="124"/>
      <c r="R10" s="124">
        <f>B40+D40</f>
        <v>642.3125</v>
      </c>
      <c r="S10" s="124">
        <f>B41+D41</f>
        <v>619.9375</v>
      </c>
      <c r="T10" s="124">
        <f>B42+D42</f>
        <v>866.25</v>
      </c>
      <c r="U10" s="124"/>
      <c r="V10" s="124">
        <f>B40+E40</f>
        <v>624.83333333333337</v>
      </c>
      <c r="W10" s="124">
        <f>B41+E41</f>
        <v>794.16666666666663</v>
      </c>
    </row>
    <row r="11" spans="1:256" ht="13.8" thickBot="1">
      <c r="A11" s="44" t="s">
        <v>25</v>
      </c>
      <c r="B11" s="100" t="s">
        <v>32</v>
      </c>
      <c r="C11" s="100" t="s">
        <v>33</v>
      </c>
      <c r="D11" s="100" t="s">
        <v>34</v>
      </c>
      <c r="E11" s="45"/>
      <c r="F11" s="46"/>
      <c r="G11" s="125"/>
      <c r="L11" s="126" t="s">
        <v>51</v>
      </c>
      <c r="M11" s="124">
        <f t="shared" ref="M11:W11" si="0">$B$40</f>
        <v>709.5</v>
      </c>
      <c r="N11" s="124">
        <f t="shared" si="0"/>
        <v>709.5</v>
      </c>
      <c r="O11" s="124">
        <f t="shared" si="0"/>
        <v>709.5</v>
      </c>
      <c r="P11" s="124">
        <f t="shared" si="0"/>
        <v>709.5</v>
      </c>
      <c r="Q11" s="124">
        <f t="shared" si="0"/>
        <v>709.5</v>
      </c>
      <c r="R11" s="124">
        <f t="shared" si="0"/>
        <v>709.5</v>
      </c>
      <c r="S11" s="124">
        <f t="shared" si="0"/>
        <v>709.5</v>
      </c>
      <c r="T11" s="124">
        <f t="shared" si="0"/>
        <v>709.5</v>
      </c>
      <c r="U11" s="124">
        <f t="shared" si="0"/>
        <v>709.5</v>
      </c>
      <c r="V11" s="124">
        <f t="shared" si="0"/>
        <v>709.5</v>
      </c>
      <c r="W11" s="124">
        <f t="shared" si="0"/>
        <v>709.5</v>
      </c>
    </row>
    <row r="12" spans="1:256" ht="26.4" customHeight="1">
      <c r="F12" s="92" t="s">
        <v>114</v>
      </c>
      <c r="G12" s="125"/>
      <c r="H12" s="11"/>
      <c r="I12" s="13"/>
      <c r="J12" s="13"/>
      <c r="L12" s="127"/>
      <c r="M12" s="31"/>
      <c r="N12" s="31"/>
      <c r="O12" s="127"/>
      <c r="P12" s="127"/>
      <c r="Q12" s="127"/>
      <c r="R12" s="12"/>
    </row>
    <row r="13" spans="1:256" ht="13.8">
      <c r="A13" s="47" t="s">
        <v>10</v>
      </c>
      <c r="B13" s="48" t="str">
        <f>B9</f>
        <v>Temp.</v>
      </c>
      <c r="C13" s="48" t="str">
        <f>B10</f>
        <v>Moût</v>
      </c>
      <c r="D13" s="48" t="str">
        <f>B11</f>
        <v>Durée</v>
      </c>
      <c r="E13" s="47" t="s">
        <v>11</v>
      </c>
      <c r="F13" s="49" t="s">
        <v>12</v>
      </c>
      <c r="G13" s="49" t="s">
        <v>13</v>
      </c>
      <c r="H13" s="49" t="s">
        <v>14</v>
      </c>
      <c r="I13" s="49" t="s">
        <v>15</v>
      </c>
      <c r="J13" s="49" t="s">
        <v>16</v>
      </c>
      <c r="K13" s="27"/>
      <c r="O13" s="127"/>
      <c r="P13" s="127"/>
      <c r="T13" s="127"/>
    </row>
    <row r="14" spans="1:256" ht="13.8">
      <c r="A14" s="50">
        <v>1</v>
      </c>
      <c r="B14" s="51" t="str">
        <f>C$9</f>
        <v>10°C</v>
      </c>
      <c r="C14" s="51" t="str">
        <f>C$10</f>
        <v>10%</v>
      </c>
      <c r="D14" s="51" t="str">
        <f>C$11</f>
        <v>1 h.</v>
      </c>
      <c r="E14" s="52">
        <f t="shared" ref="E14:E37" si="1">MEDIAN(F14:J14)</f>
        <v>151</v>
      </c>
      <c r="F14" s="57">
        <v>151</v>
      </c>
      <c r="G14" s="57"/>
      <c r="H14" s="57"/>
      <c r="I14" s="57"/>
      <c r="J14" s="57"/>
      <c r="K14" s="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127"/>
      <c r="BK14" s="127"/>
      <c r="BL14" s="127"/>
      <c r="BM14" s="127"/>
      <c r="BN14" s="127"/>
      <c r="BO14" s="127"/>
      <c r="BP14" s="127"/>
      <c r="BQ14" s="127"/>
      <c r="BR14" s="127"/>
      <c r="BS14" s="127"/>
      <c r="BT14" s="127"/>
      <c r="BU14" s="127"/>
      <c r="BV14" s="127"/>
      <c r="BW14" s="127"/>
      <c r="BX14" s="127"/>
      <c r="BY14" s="127"/>
      <c r="BZ14" s="127"/>
      <c r="CA14" s="127"/>
      <c r="CB14" s="127"/>
      <c r="CC14" s="127"/>
      <c r="CD14" s="127"/>
      <c r="CE14" s="127"/>
      <c r="CF14" s="127"/>
      <c r="CG14" s="127"/>
      <c r="CH14" s="127"/>
      <c r="CI14" s="127"/>
      <c r="CJ14" s="127"/>
      <c r="CK14" s="127"/>
      <c r="CL14" s="127"/>
      <c r="CM14" s="127"/>
      <c r="CN14" s="127"/>
      <c r="CO14" s="127"/>
      <c r="CP14" s="127"/>
      <c r="CQ14" s="127"/>
      <c r="CR14" s="127"/>
      <c r="CS14" s="127"/>
      <c r="CT14" s="127"/>
      <c r="CU14" s="127"/>
      <c r="CV14" s="127"/>
      <c r="CW14" s="127"/>
      <c r="CX14" s="127"/>
      <c r="CY14" s="127"/>
      <c r="CZ14" s="127"/>
      <c r="DA14" s="127"/>
      <c r="DB14" s="127"/>
      <c r="DC14" s="127"/>
      <c r="DD14" s="127"/>
      <c r="DE14" s="127"/>
      <c r="DF14" s="127"/>
      <c r="DG14" s="127"/>
      <c r="DH14" s="127"/>
      <c r="DI14" s="127"/>
      <c r="DJ14" s="127"/>
      <c r="DK14" s="127"/>
      <c r="DL14" s="127"/>
      <c r="DM14" s="127"/>
      <c r="DN14" s="127"/>
      <c r="DO14" s="127"/>
      <c r="DP14" s="127"/>
      <c r="DQ14" s="127"/>
      <c r="DR14" s="127"/>
      <c r="DS14" s="127"/>
      <c r="DT14" s="127"/>
      <c r="DU14" s="127"/>
      <c r="DV14" s="127"/>
      <c r="DW14" s="127"/>
      <c r="DX14" s="127"/>
      <c r="DY14" s="127"/>
      <c r="DZ14" s="127"/>
      <c r="EA14" s="127"/>
      <c r="EB14" s="127"/>
      <c r="EC14" s="127"/>
      <c r="ED14" s="127"/>
      <c r="EE14" s="127"/>
      <c r="EF14" s="127"/>
      <c r="EG14" s="127"/>
      <c r="EH14" s="127"/>
      <c r="EI14" s="127"/>
      <c r="EJ14" s="127"/>
      <c r="EK14" s="127"/>
      <c r="EL14" s="127"/>
      <c r="EM14" s="127"/>
      <c r="EN14" s="127"/>
      <c r="EO14" s="127"/>
      <c r="EP14" s="127"/>
      <c r="EQ14" s="127"/>
      <c r="ER14" s="127"/>
      <c r="ES14" s="127"/>
      <c r="ET14" s="127"/>
      <c r="EU14" s="127"/>
      <c r="EV14" s="127"/>
      <c r="EW14" s="127"/>
      <c r="EX14" s="127"/>
      <c r="EY14" s="127"/>
      <c r="EZ14" s="127"/>
      <c r="FA14" s="127"/>
      <c r="FB14" s="127"/>
      <c r="FC14" s="127"/>
      <c r="FD14" s="127"/>
      <c r="FE14" s="127"/>
      <c r="FF14" s="127"/>
      <c r="FG14" s="127"/>
      <c r="FH14" s="127"/>
      <c r="FI14" s="127"/>
      <c r="FJ14" s="127"/>
      <c r="FK14" s="127"/>
      <c r="FL14" s="127"/>
      <c r="FM14" s="127"/>
      <c r="FN14" s="127"/>
      <c r="FO14" s="127"/>
      <c r="FP14" s="127"/>
      <c r="FQ14" s="127"/>
      <c r="FR14" s="127"/>
      <c r="FS14" s="127"/>
      <c r="FT14" s="127"/>
      <c r="FU14" s="127"/>
      <c r="FV14" s="127"/>
      <c r="FW14" s="127"/>
      <c r="FX14" s="127"/>
      <c r="FY14" s="127"/>
      <c r="FZ14" s="127"/>
      <c r="GA14" s="127"/>
      <c r="GB14" s="127"/>
      <c r="GC14" s="127"/>
      <c r="GD14" s="127"/>
      <c r="GE14" s="127"/>
      <c r="GF14" s="127"/>
      <c r="GG14" s="127"/>
      <c r="GH14" s="127"/>
      <c r="GI14" s="127"/>
      <c r="GJ14" s="127"/>
      <c r="GK14" s="127"/>
      <c r="GL14" s="127"/>
      <c r="GM14" s="127"/>
      <c r="GN14" s="127"/>
      <c r="GO14" s="127"/>
      <c r="GP14" s="127"/>
      <c r="GQ14" s="127"/>
      <c r="GR14" s="127"/>
      <c r="GS14" s="127"/>
      <c r="GT14" s="127"/>
      <c r="GU14" s="127"/>
      <c r="GV14" s="127"/>
      <c r="GW14" s="127"/>
      <c r="GX14" s="127"/>
      <c r="GY14" s="127"/>
      <c r="GZ14" s="127"/>
      <c r="HA14" s="127"/>
      <c r="HB14" s="127"/>
      <c r="HC14" s="127"/>
      <c r="HD14" s="127"/>
      <c r="HE14" s="127"/>
      <c r="HF14" s="127"/>
      <c r="HG14" s="127"/>
      <c r="HH14" s="127"/>
      <c r="HI14" s="127"/>
      <c r="HJ14" s="127"/>
      <c r="HK14" s="127"/>
      <c r="HL14" s="127"/>
      <c r="HM14" s="127"/>
      <c r="HN14" s="127"/>
      <c r="HO14" s="127"/>
      <c r="HP14" s="127"/>
      <c r="HQ14" s="127"/>
      <c r="HR14" s="127"/>
      <c r="HS14" s="127"/>
      <c r="HT14" s="127"/>
      <c r="HU14" s="127"/>
      <c r="HV14" s="127"/>
      <c r="HW14" s="127"/>
      <c r="HX14" s="127"/>
      <c r="HY14" s="127"/>
      <c r="HZ14" s="127"/>
      <c r="IA14" s="127"/>
      <c r="IB14" s="127"/>
      <c r="IC14" s="127"/>
      <c r="ID14" s="127"/>
      <c r="IE14" s="127"/>
      <c r="IF14" s="127"/>
      <c r="IG14" s="127"/>
      <c r="IH14" s="127"/>
      <c r="II14" s="127"/>
      <c r="IJ14" s="127"/>
      <c r="IK14" s="127"/>
      <c r="IL14" s="127"/>
      <c r="IM14" s="127"/>
      <c r="IN14" s="127"/>
      <c r="IO14" s="127"/>
      <c r="IP14" s="127"/>
      <c r="IQ14" s="127"/>
      <c r="IR14" s="127"/>
      <c r="IS14" s="127"/>
      <c r="IT14" s="127"/>
      <c r="IU14" s="127"/>
      <c r="IV14" s="127"/>
    </row>
    <row r="15" spans="1:256" s="95" customFormat="1" ht="14.4" thickBot="1">
      <c r="A15" s="50">
        <v>2</v>
      </c>
      <c r="B15" s="51" t="str">
        <f t="shared" ref="B15:B19" si="2">C$9</f>
        <v>10°C</v>
      </c>
      <c r="C15" s="51" t="str">
        <f>C$10</f>
        <v>10%</v>
      </c>
      <c r="D15" s="51" t="str">
        <f>D$11</f>
        <v>3 h.</v>
      </c>
      <c r="E15" s="52">
        <f t="shared" si="1"/>
        <v>180</v>
      </c>
      <c r="F15" s="57">
        <v>180</v>
      </c>
      <c r="G15" s="57"/>
      <c r="H15" s="57"/>
      <c r="I15" s="57"/>
      <c r="J15" s="57"/>
      <c r="K15" s="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  <c r="BZ15" s="127"/>
      <c r="CA15" s="127"/>
      <c r="CB15" s="127"/>
      <c r="CC15" s="127"/>
      <c r="CD15" s="127"/>
      <c r="CE15" s="127"/>
      <c r="CF15" s="127"/>
      <c r="CG15" s="127"/>
      <c r="CH15" s="127"/>
      <c r="CI15" s="127"/>
      <c r="CJ15" s="127"/>
      <c r="CK15" s="127"/>
      <c r="CL15" s="127"/>
      <c r="CM15" s="127"/>
      <c r="CN15" s="127"/>
      <c r="CO15" s="127"/>
      <c r="CP15" s="127"/>
      <c r="CQ15" s="127"/>
      <c r="CR15" s="127"/>
      <c r="CS15" s="127"/>
      <c r="CT15" s="127"/>
      <c r="CU15" s="127"/>
      <c r="CV15" s="127"/>
      <c r="CW15" s="127"/>
      <c r="CX15" s="127"/>
      <c r="CY15" s="127"/>
      <c r="CZ15" s="127"/>
      <c r="DA15" s="127"/>
      <c r="DB15" s="127"/>
      <c r="DC15" s="127"/>
      <c r="DD15" s="127"/>
      <c r="DE15" s="127"/>
      <c r="DF15" s="127"/>
      <c r="DG15" s="127"/>
      <c r="DH15" s="127"/>
      <c r="DI15" s="127"/>
      <c r="DJ15" s="127"/>
      <c r="DK15" s="127"/>
      <c r="DL15" s="127"/>
      <c r="DM15" s="127"/>
      <c r="DN15" s="127"/>
      <c r="DO15" s="127"/>
      <c r="DP15" s="127"/>
      <c r="DQ15" s="127"/>
      <c r="DR15" s="127"/>
      <c r="DS15" s="127"/>
      <c r="DT15" s="127"/>
      <c r="DU15" s="127"/>
      <c r="DV15" s="127"/>
      <c r="DW15" s="127"/>
      <c r="DX15" s="127"/>
      <c r="DY15" s="127"/>
      <c r="DZ15" s="127"/>
      <c r="EA15" s="127"/>
      <c r="EB15" s="127"/>
      <c r="EC15" s="127"/>
      <c r="ED15" s="127"/>
      <c r="EE15" s="127"/>
      <c r="EF15" s="127"/>
      <c r="EG15" s="127"/>
      <c r="EH15" s="127"/>
      <c r="EI15" s="127"/>
      <c r="EJ15" s="127"/>
      <c r="EK15" s="127"/>
      <c r="EL15" s="127"/>
      <c r="EM15" s="127"/>
      <c r="EN15" s="127"/>
      <c r="EO15" s="127"/>
      <c r="EP15" s="127"/>
      <c r="EQ15" s="127"/>
      <c r="ER15" s="127"/>
      <c r="ES15" s="127"/>
      <c r="ET15" s="127"/>
      <c r="EU15" s="127"/>
      <c r="EV15" s="127"/>
      <c r="EW15" s="127"/>
      <c r="EX15" s="127"/>
      <c r="EY15" s="127"/>
      <c r="EZ15" s="127"/>
      <c r="FA15" s="127"/>
      <c r="FB15" s="127"/>
      <c r="FC15" s="127"/>
      <c r="FD15" s="127"/>
      <c r="FE15" s="127"/>
      <c r="FF15" s="127"/>
      <c r="FG15" s="127"/>
      <c r="FH15" s="127"/>
      <c r="FI15" s="127"/>
      <c r="FJ15" s="127"/>
      <c r="FK15" s="127"/>
      <c r="FL15" s="127"/>
      <c r="FM15" s="127"/>
      <c r="FN15" s="127"/>
      <c r="FO15" s="127"/>
      <c r="FP15" s="127"/>
      <c r="FQ15" s="127"/>
      <c r="FR15" s="127"/>
      <c r="FS15" s="127"/>
      <c r="FT15" s="127"/>
      <c r="FU15" s="127"/>
      <c r="FV15" s="127"/>
      <c r="FW15" s="127"/>
      <c r="FX15" s="127"/>
      <c r="FY15" s="127"/>
      <c r="FZ15" s="127"/>
      <c r="GA15" s="127"/>
      <c r="GB15" s="127"/>
      <c r="GC15" s="127"/>
      <c r="GD15" s="127"/>
      <c r="GE15" s="127"/>
      <c r="GF15" s="127"/>
      <c r="GG15" s="127"/>
      <c r="GH15" s="127"/>
      <c r="GI15" s="127"/>
      <c r="GJ15" s="127"/>
      <c r="GK15" s="127"/>
      <c r="GL15" s="127"/>
      <c r="GM15" s="127"/>
      <c r="GN15" s="127"/>
      <c r="GO15" s="127"/>
      <c r="GP15" s="127"/>
      <c r="GQ15" s="127"/>
      <c r="GR15" s="127"/>
      <c r="GS15" s="127"/>
      <c r="GT15" s="127"/>
      <c r="GU15" s="127"/>
      <c r="GV15" s="127"/>
      <c r="GW15" s="127"/>
      <c r="GX15" s="127"/>
      <c r="GY15" s="127"/>
      <c r="GZ15" s="127"/>
      <c r="HA15" s="127"/>
      <c r="HB15" s="127"/>
      <c r="HC15" s="127"/>
      <c r="HD15" s="127"/>
      <c r="HE15" s="127"/>
      <c r="HF15" s="127"/>
      <c r="HG15" s="127"/>
      <c r="HH15" s="127"/>
      <c r="HI15" s="127"/>
      <c r="HJ15" s="127"/>
      <c r="HK15" s="127"/>
      <c r="HL15" s="127"/>
      <c r="HM15" s="127"/>
      <c r="HN15" s="127"/>
      <c r="HO15" s="127"/>
      <c r="HP15" s="127"/>
      <c r="HQ15" s="127"/>
      <c r="HR15" s="127"/>
      <c r="HS15" s="127"/>
      <c r="HT15" s="127"/>
      <c r="HU15" s="127"/>
      <c r="HV15" s="127"/>
      <c r="HW15" s="127"/>
      <c r="HX15" s="127"/>
      <c r="HY15" s="127"/>
      <c r="HZ15" s="127"/>
      <c r="IA15" s="127"/>
      <c r="IB15" s="127"/>
      <c r="IC15" s="127"/>
      <c r="ID15" s="127"/>
      <c r="IE15" s="127"/>
      <c r="IF15" s="127"/>
      <c r="IG15" s="127"/>
      <c r="IH15" s="127"/>
      <c r="II15" s="127"/>
      <c r="IJ15" s="127"/>
      <c r="IK15" s="127"/>
      <c r="IL15" s="127"/>
      <c r="IM15" s="127"/>
      <c r="IN15" s="127"/>
      <c r="IO15" s="127"/>
      <c r="IP15" s="127"/>
      <c r="IQ15" s="127"/>
      <c r="IR15" s="127"/>
      <c r="IS15" s="127"/>
      <c r="IT15" s="127"/>
      <c r="IU15" s="127"/>
      <c r="IV15" s="127"/>
    </row>
    <row r="16" spans="1:256" ht="13.8">
      <c r="A16" s="50">
        <v>3</v>
      </c>
      <c r="B16" s="51" t="str">
        <f t="shared" si="2"/>
        <v>10°C</v>
      </c>
      <c r="C16" s="134">
        <v>0.3</v>
      </c>
      <c r="D16" s="51" t="str">
        <f>C$11</f>
        <v>1 h.</v>
      </c>
      <c r="E16" s="52">
        <f t="shared" si="1"/>
        <v>102.5</v>
      </c>
      <c r="F16" s="57">
        <v>102.5</v>
      </c>
      <c r="G16" s="57"/>
      <c r="H16" s="57"/>
      <c r="I16" s="57"/>
      <c r="J16" s="57"/>
      <c r="K16" s="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7"/>
      <c r="AU16" s="127"/>
      <c r="AV16" s="127"/>
      <c r="AW16" s="127"/>
      <c r="AX16" s="127"/>
      <c r="AY16" s="127"/>
      <c r="AZ16" s="127"/>
      <c r="BA16" s="127"/>
      <c r="BB16" s="127"/>
      <c r="BC16" s="127"/>
      <c r="BD16" s="127"/>
      <c r="BE16" s="127"/>
      <c r="BF16" s="127"/>
      <c r="BG16" s="127"/>
      <c r="BH16" s="127"/>
      <c r="BI16" s="127"/>
      <c r="BJ16" s="127"/>
      <c r="BK16" s="127"/>
      <c r="BL16" s="127"/>
      <c r="BM16" s="127"/>
      <c r="BN16" s="127"/>
      <c r="BO16" s="127"/>
      <c r="BP16" s="127"/>
      <c r="BQ16" s="127"/>
      <c r="BR16" s="127"/>
      <c r="BS16" s="127"/>
      <c r="BT16" s="127"/>
      <c r="BU16" s="127"/>
      <c r="BV16" s="127"/>
      <c r="BW16" s="127"/>
      <c r="BX16" s="127"/>
      <c r="BY16" s="127"/>
      <c r="BZ16" s="127"/>
      <c r="CA16" s="127"/>
      <c r="CB16" s="127"/>
      <c r="CC16" s="127"/>
      <c r="CD16" s="127"/>
      <c r="CE16" s="127"/>
      <c r="CF16" s="127"/>
      <c r="CG16" s="127"/>
      <c r="CH16" s="127"/>
      <c r="CI16" s="127"/>
      <c r="CJ16" s="127"/>
      <c r="CK16" s="127"/>
      <c r="CL16" s="127"/>
      <c r="CM16" s="127"/>
      <c r="CN16" s="127"/>
      <c r="CO16" s="127"/>
      <c r="CP16" s="127"/>
      <c r="CQ16" s="127"/>
      <c r="CR16" s="127"/>
      <c r="CS16" s="127"/>
      <c r="CT16" s="127"/>
      <c r="CU16" s="127"/>
      <c r="CV16" s="127"/>
      <c r="CW16" s="127"/>
      <c r="CX16" s="127"/>
      <c r="CY16" s="127"/>
      <c r="CZ16" s="127"/>
      <c r="DA16" s="127"/>
      <c r="DB16" s="127"/>
      <c r="DC16" s="127"/>
      <c r="DD16" s="127"/>
      <c r="DE16" s="127"/>
      <c r="DF16" s="127"/>
      <c r="DG16" s="127"/>
      <c r="DH16" s="127"/>
      <c r="DI16" s="127"/>
      <c r="DJ16" s="127"/>
      <c r="DK16" s="127"/>
      <c r="DL16" s="127"/>
      <c r="DM16" s="127"/>
      <c r="DN16" s="127"/>
      <c r="DO16" s="127"/>
      <c r="DP16" s="127"/>
      <c r="DQ16" s="127"/>
      <c r="DR16" s="127"/>
      <c r="DS16" s="127"/>
      <c r="DT16" s="127"/>
      <c r="DU16" s="127"/>
      <c r="DV16" s="127"/>
      <c r="DW16" s="127"/>
      <c r="DX16" s="127"/>
      <c r="DY16" s="127"/>
      <c r="DZ16" s="127"/>
      <c r="EA16" s="127"/>
      <c r="EB16" s="127"/>
      <c r="EC16" s="127"/>
      <c r="ED16" s="127"/>
      <c r="EE16" s="127"/>
      <c r="EF16" s="127"/>
      <c r="EG16" s="127"/>
      <c r="EH16" s="127"/>
      <c r="EI16" s="127"/>
      <c r="EJ16" s="127"/>
      <c r="EK16" s="127"/>
      <c r="EL16" s="127"/>
      <c r="EM16" s="127"/>
      <c r="EN16" s="127"/>
      <c r="EO16" s="127"/>
      <c r="EP16" s="127"/>
      <c r="EQ16" s="127"/>
      <c r="ER16" s="127"/>
      <c r="ES16" s="127"/>
      <c r="ET16" s="127"/>
      <c r="EU16" s="127"/>
      <c r="EV16" s="127"/>
      <c r="EW16" s="127"/>
      <c r="EX16" s="127"/>
      <c r="EY16" s="127"/>
      <c r="EZ16" s="127"/>
      <c r="FA16" s="127"/>
      <c r="FB16" s="127"/>
      <c r="FC16" s="127"/>
      <c r="FD16" s="127"/>
      <c r="FE16" s="127"/>
      <c r="FF16" s="127"/>
      <c r="FG16" s="127"/>
      <c r="FH16" s="127"/>
      <c r="FI16" s="127"/>
      <c r="FJ16" s="127"/>
      <c r="FK16" s="127"/>
      <c r="FL16" s="127"/>
      <c r="FM16" s="127"/>
      <c r="FN16" s="127"/>
      <c r="FO16" s="127"/>
      <c r="FP16" s="127"/>
      <c r="FQ16" s="127"/>
      <c r="FR16" s="127"/>
      <c r="FS16" s="127"/>
      <c r="FT16" s="127"/>
      <c r="FU16" s="127"/>
      <c r="FV16" s="127"/>
      <c r="FW16" s="127"/>
      <c r="FX16" s="127"/>
      <c r="FY16" s="127"/>
      <c r="FZ16" s="127"/>
      <c r="GA16" s="127"/>
      <c r="GB16" s="127"/>
      <c r="GC16" s="127"/>
      <c r="GD16" s="127"/>
      <c r="GE16" s="127"/>
      <c r="GF16" s="127"/>
      <c r="GG16" s="127"/>
      <c r="GH16" s="127"/>
      <c r="GI16" s="127"/>
      <c r="GJ16" s="127"/>
      <c r="GK16" s="127"/>
      <c r="GL16" s="127"/>
      <c r="GM16" s="127"/>
      <c r="GN16" s="127"/>
      <c r="GO16" s="127"/>
      <c r="GP16" s="127"/>
      <c r="GQ16" s="127"/>
      <c r="GR16" s="127"/>
      <c r="GS16" s="127"/>
      <c r="GT16" s="127"/>
      <c r="GU16" s="127"/>
      <c r="GV16" s="127"/>
      <c r="GW16" s="127"/>
      <c r="GX16" s="127"/>
      <c r="GY16" s="127"/>
      <c r="GZ16" s="127"/>
      <c r="HA16" s="127"/>
      <c r="HB16" s="127"/>
      <c r="HC16" s="127"/>
      <c r="HD16" s="127"/>
      <c r="HE16" s="127"/>
      <c r="HF16" s="127"/>
      <c r="HG16" s="127"/>
      <c r="HH16" s="127"/>
      <c r="HI16" s="127"/>
      <c r="HJ16" s="127"/>
      <c r="HK16" s="127"/>
      <c r="HL16" s="127"/>
      <c r="HM16" s="127"/>
      <c r="HN16" s="127"/>
      <c r="HO16" s="127"/>
      <c r="HP16" s="127"/>
      <c r="HQ16" s="127"/>
      <c r="HR16" s="127"/>
      <c r="HS16" s="127"/>
      <c r="HT16" s="127"/>
      <c r="HU16" s="127"/>
      <c r="HV16" s="127"/>
      <c r="HW16" s="127"/>
      <c r="HX16" s="127"/>
      <c r="HY16" s="127"/>
      <c r="HZ16" s="127"/>
      <c r="IA16" s="127"/>
      <c r="IB16" s="127"/>
      <c r="IC16" s="127"/>
      <c r="ID16" s="127"/>
      <c r="IE16" s="127"/>
      <c r="IF16" s="127"/>
      <c r="IG16" s="127"/>
      <c r="IH16" s="127"/>
      <c r="II16" s="127"/>
      <c r="IJ16" s="127"/>
      <c r="IK16" s="127"/>
      <c r="IL16" s="127"/>
      <c r="IM16" s="127"/>
      <c r="IN16" s="127"/>
      <c r="IO16" s="127"/>
      <c r="IP16" s="127"/>
      <c r="IQ16" s="127"/>
      <c r="IR16" s="127"/>
      <c r="IS16" s="127"/>
      <c r="IT16" s="127"/>
      <c r="IU16" s="127"/>
      <c r="IV16" s="127"/>
    </row>
    <row r="17" spans="1:256" s="95" customFormat="1" ht="14.4" thickBot="1">
      <c r="A17" s="50">
        <v>4</v>
      </c>
      <c r="B17" s="51" t="str">
        <f t="shared" si="2"/>
        <v>10°C</v>
      </c>
      <c r="C17" s="134">
        <v>0.3</v>
      </c>
      <c r="D17" s="51" t="str">
        <f>D$11</f>
        <v>3 h.</v>
      </c>
      <c r="E17" s="52">
        <f t="shared" si="1"/>
        <v>200</v>
      </c>
      <c r="F17" s="57">
        <v>200</v>
      </c>
      <c r="G17" s="57"/>
      <c r="H17" s="57"/>
      <c r="I17" s="57"/>
      <c r="J17" s="57"/>
      <c r="K17" s="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  <c r="BC17" s="127"/>
      <c r="BD17" s="127"/>
      <c r="BE17" s="127"/>
      <c r="BF17" s="127"/>
      <c r="BG17" s="127"/>
      <c r="BH17" s="127"/>
      <c r="BI17" s="127"/>
      <c r="BJ17" s="127"/>
      <c r="BK17" s="127"/>
      <c r="BL17" s="127"/>
      <c r="BM17" s="127"/>
      <c r="BN17" s="127"/>
      <c r="BO17" s="127"/>
      <c r="BP17" s="127"/>
      <c r="BQ17" s="127"/>
      <c r="BR17" s="127"/>
      <c r="BS17" s="127"/>
      <c r="BT17" s="127"/>
      <c r="BU17" s="127"/>
      <c r="BV17" s="127"/>
      <c r="BW17" s="127"/>
      <c r="BX17" s="127"/>
      <c r="BY17" s="127"/>
      <c r="BZ17" s="127"/>
      <c r="CA17" s="127"/>
      <c r="CB17" s="127"/>
      <c r="CC17" s="127"/>
      <c r="CD17" s="127"/>
      <c r="CE17" s="127"/>
      <c r="CF17" s="127"/>
      <c r="CG17" s="127"/>
      <c r="CH17" s="127"/>
      <c r="CI17" s="127"/>
      <c r="CJ17" s="127"/>
      <c r="CK17" s="127"/>
      <c r="CL17" s="127"/>
      <c r="CM17" s="127"/>
      <c r="CN17" s="127"/>
      <c r="CO17" s="127"/>
      <c r="CP17" s="127"/>
      <c r="CQ17" s="127"/>
      <c r="CR17" s="127"/>
      <c r="CS17" s="127"/>
      <c r="CT17" s="127"/>
      <c r="CU17" s="127"/>
      <c r="CV17" s="127"/>
      <c r="CW17" s="127"/>
      <c r="CX17" s="127"/>
      <c r="CY17" s="127"/>
      <c r="CZ17" s="127"/>
      <c r="DA17" s="127"/>
      <c r="DB17" s="127"/>
      <c r="DC17" s="127"/>
      <c r="DD17" s="127"/>
      <c r="DE17" s="127"/>
      <c r="DF17" s="127"/>
      <c r="DG17" s="127"/>
      <c r="DH17" s="127"/>
      <c r="DI17" s="127"/>
      <c r="DJ17" s="127"/>
      <c r="DK17" s="127"/>
      <c r="DL17" s="127"/>
      <c r="DM17" s="127"/>
      <c r="DN17" s="127"/>
      <c r="DO17" s="127"/>
      <c r="DP17" s="127"/>
      <c r="DQ17" s="127"/>
      <c r="DR17" s="127"/>
      <c r="DS17" s="127"/>
      <c r="DT17" s="127"/>
      <c r="DU17" s="127"/>
      <c r="DV17" s="127"/>
      <c r="DW17" s="127"/>
      <c r="DX17" s="127"/>
      <c r="DY17" s="127"/>
      <c r="DZ17" s="127"/>
      <c r="EA17" s="127"/>
      <c r="EB17" s="127"/>
      <c r="EC17" s="127"/>
      <c r="ED17" s="127"/>
      <c r="EE17" s="127"/>
      <c r="EF17" s="127"/>
      <c r="EG17" s="127"/>
      <c r="EH17" s="127"/>
      <c r="EI17" s="127"/>
      <c r="EJ17" s="127"/>
      <c r="EK17" s="127"/>
      <c r="EL17" s="127"/>
      <c r="EM17" s="127"/>
      <c r="EN17" s="127"/>
      <c r="EO17" s="127"/>
      <c r="EP17" s="127"/>
      <c r="EQ17" s="127"/>
      <c r="ER17" s="127"/>
      <c r="ES17" s="127"/>
      <c r="ET17" s="127"/>
      <c r="EU17" s="127"/>
      <c r="EV17" s="127"/>
      <c r="EW17" s="127"/>
      <c r="EX17" s="127"/>
      <c r="EY17" s="127"/>
      <c r="EZ17" s="127"/>
      <c r="FA17" s="127"/>
      <c r="FB17" s="127"/>
      <c r="FC17" s="127"/>
      <c r="FD17" s="127"/>
      <c r="FE17" s="127"/>
      <c r="FF17" s="127"/>
      <c r="FG17" s="127"/>
      <c r="FH17" s="127"/>
      <c r="FI17" s="127"/>
      <c r="FJ17" s="127"/>
      <c r="FK17" s="127"/>
      <c r="FL17" s="127"/>
      <c r="FM17" s="127"/>
      <c r="FN17" s="127"/>
      <c r="FO17" s="127"/>
      <c r="FP17" s="127"/>
      <c r="FQ17" s="127"/>
      <c r="FR17" s="127"/>
      <c r="FS17" s="127"/>
      <c r="FT17" s="127"/>
      <c r="FU17" s="127"/>
      <c r="FV17" s="127"/>
      <c r="FW17" s="127"/>
      <c r="FX17" s="127"/>
      <c r="FY17" s="127"/>
      <c r="FZ17" s="127"/>
      <c r="GA17" s="127"/>
      <c r="GB17" s="127"/>
      <c r="GC17" s="127"/>
      <c r="GD17" s="127"/>
      <c r="GE17" s="127"/>
      <c r="GF17" s="127"/>
      <c r="GG17" s="127"/>
      <c r="GH17" s="127"/>
      <c r="GI17" s="127"/>
      <c r="GJ17" s="127"/>
      <c r="GK17" s="127"/>
      <c r="GL17" s="127"/>
      <c r="GM17" s="127"/>
      <c r="GN17" s="127"/>
      <c r="GO17" s="127"/>
      <c r="GP17" s="127"/>
      <c r="GQ17" s="127"/>
      <c r="GR17" s="127"/>
      <c r="GS17" s="127"/>
      <c r="GT17" s="127"/>
      <c r="GU17" s="127"/>
      <c r="GV17" s="127"/>
      <c r="GW17" s="127"/>
      <c r="GX17" s="127"/>
      <c r="GY17" s="127"/>
      <c r="GZ17" s="127"/>
      <c r="HA17" s="127"/>
      <c r="HB17" s="127"/>
      <c r="HC17" s="127"/>
      <c r="HD17" s="127"/>
      <c r="HE17" s="127"/>
      <c r="HF17" s="127"/>
      <c r="HG17" s="127"/>
      <c r="HH17" s="127"/>
      <c r="HI17" s="127"/>
      <c r="HJ17" s="127"/>
      <c r="HK17" s="127"/>
      <c r="HL17" s="127"/>
      <c r="HM17" s="127"/>
      <c r="HN17" s="127"/>
      <c r="HO17" s="127"/>
      <c r="HP17" s="127"/>
      <c r="HQ17" s="127"/>
      <c r="HR17" s="127"/>
      <c r="HS17" s="127"/>
      <c r="HT17" s="127"/>
      <c r="HU17" s="127"/>
      <c r="HV17" s="127"/>
      <c r="HW17" s="127"/>
      <c r="HX17" s="127"/>
      <c r="HY17" s="127"/>
      <c r="HZ17" s="127"/>
      <c r="IA17" s="127"/>
      <c r="IB17" s="127"/>
      <c r="IC17" s="127"/>
      <c r="ID17" s="127"/>
      <c r="IE17" s="127"/>
      <c r="IF17" s="127"/>
      <c r="IG17" s="127"/>
      <c r="IH17" s="127"/>
      <c r="II17" s="127"/>
      <c r="IJ17" s="127"/>
      <c r="IK17" s="127"/>
      <c r="IL17" s="127"/>
      <c r="IM17" s="127"/>
      <c r="IN17" s="127"/>
      <c r="IO17" s="127"/>
      <c r="IP17" s="127"/>
      <c r="IQ17" s="127"/>
      <c r="IR17" s="127"/>
      <c r="IS17" s="127"/>
      <c r="IT17" s="127"/>
      <c r="IU17" s="127"/>
      <c r="IV17" s="127"/>
    </row>
    <row r="18" spans="1:256" ht="13.8">
      <c r="A18" s="50">
        <v>5</v>
      </c>
      <c r="B18" s="51" t="str">
        <f t="shared" si="2"/>
        <v>10°C</v>
      </c>
      <c r="C18" s="51" t="str">
        <f>E$10</f>
        <v>50%</v>
      </c>
      <c r="D18" s="51" t="str">
        <f>C$11</f>
        <v>1 h.</v>
      </c>
      <c r="E18" s="52">
        <f t="shared" si="1"/>
        <v>232.5</v>
      </c>
      <c r="F18" s="57">
        <v>232.5</v>
      </c>
      <c r="G18" s="57"/>
      <c r="H18" s="57"/>
      <c r="I18" s="57"/>
      <c r="J18" s="57"/>
      <c r="K18" s="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  <c r="BZ18" s="127"/>
      <c r="CA18" s="127"/>
      <c r="CB18" s="127"/>
      <c r="CC18" s="127"/>
      <c r="CD18" s="127"/>
      <c r="CE18" s="127"/>
      <c r="CF18" s="127"/>
      <c r="CG18" s="127"/>
      <c r="CH18" s="127"/>
      <c r="CI18" s="127"/>
      <c r="CJ18" s="127"/>
      <c r="CK18" s="127"/>
      <c r="CL18" s="127"/>
      <c r="CM18" s="127"/>
      <c r="CN18" s="127"/>
      <c r="CO18" s="127"/>
      <c r="CP18" s="127"/>
      <c r="CQ18" s="127"/>
      <c r="CR18" s="127"/>
      <c r="CS18" s="127"/>
      <c r="CT18" s="127"/>
      <c r="CU18" s="127"/>
      <c r="CV18" s="127"/>
      <c r="CW18" s="127"/>
      <c r="CX18" s="127"/>
      <c r="CY18" s="127"/>
      <c r="CZ18" s="127"/>
      <c r="DA18" s="127"/>
      <c r="DB18" s="127"/>
      <c r="DC18" s="127"/>
      <c r="DD18" s="127"/>
      <c r="DE18" s="127"/>
      <c r="DF18" s="127"/>
      <c r="DG18" s="127"/>
      <c r="DH18" s="127"/>
      <c r="DI18" s="127"/>
      <c r="DJ18" s="127"/>
      <c r="DK18" s="127"/>
      <c r="DL18" s="127"/>
      <c r="DM18" s="127"/>
      <c r="DN18" s="127"/>
      <c r="DO18" s="127"/>
      <c r="DP18" s="127"/>
      <c r="DQ18" s="127"/>
      <c r="DR18" s="127"/>
      <c r="DS18" s="127"/>
      <c r="DT18" s="127"/>
      <c r="DU18" s="127"/>
      <c r="DV18" s="127"/>
      <c r="DW18" s="127"/>
      <c r="DX18" s="127"/>
      <c r="DY18" s="127"/>
      <c r="DZ18" s="127"/>
      <c r="EA18" s="127"/>
      <c r="EB18" s="127"/>
      <c r="EC18" s="127"/>
      <c r="ED18" s="127"/>
      <c r="EE18" s="127"/>
      <c r="EF18" s="127"/>
      <c r="EG18" s="127"/>
      <c r="EH18" s="127"/>
      <c r="EI18" s="127"/>
      <c r="EJ18" s="127"/>
      <c r="EK18" s="127"/>
      <c r="EL18" s="127"/>
      <c r="EM18" s="127"/>
      <c r="EN18" s="127"/>
      <c r="EO18" s="127"/>
      <c r="EP18" s="127"/>
      <c r="EQ18" s="127"/>
      <c r="ER18" s="127"/>
      <c r="ES18" s="127"/>
      <c r="ET18" s="127"/>
      <c r="EU18" s="127"/>
      <c r="EV18" s="127"/>
      <c r="EW18" s="127"/>
      <c r="EX18" s="127"/>
      <c r="EY18" s="127"/>
      <c r="EZ18" s="127"/>
      <c r="FA18" s="127"/>
      <c r="FB18" s="127"/>
      <c r="FC18" s="127"/>
      <c r="FD18" s="127"/>
      <c r="FE18" s="127"/>
      <c r="FF18" s="127"/>
      <c r="FG18" s="127"/>
      <c r="FH18" s="127"/>
      <c r="FI18" s="127"/>
      <c r="FJ18" s="127"/>
      <c r="FK18" s="127"/>
      <c r="FL18" s="127"/>
      <c r="FM18" s="127"/>
      <c r="FN18" s="127"/>
      <c r="FO18" s="127"/>
      <c r="FP18" s="127"/>
      <c r="FQ18" s="127"/>
      <c r="FR18" s="127"/>
      <c r="FS18" s="127"/>
      <c r="FT18" s="127"/>
      <c r="FU18" s="127"/>
      <c r="FV18" s="127"/>
      <c r="FW18" s="127"/>
      <c r="FX18" s="127"/>
      <c r="FY18" s="127"/>
      <c r="FZ18" s="127"/>
      <c r="GA18" s="127"/>
      <c r="GB18" s="127"/>
      <c r="GC18" s="127"/>
      <c r="GD18" s="127"/>
      <c r="GE18" s="127"/>
      <c r="GF18" s="127"/>
      <c r="GG18" s="127"/>
      <c r="GH18" s="127"/>
      <c r="GI18" s="127"/>
      <c r="GJ18" s="127"/>
      <c r="GK18" s="127"/>
      <c r="GL18" s="127"/>
      <c r="GM18" s="127"/>
      <c r="GN18" s="127"/>
      <c r="GO18" s="127"/>
      <c r="GP18" s="127"/>
      <c r="GQ18" s="127"/>
      <c r="GR18" s="127"/>
      <c r="GS18" s="127"/>
      <c r="GT18" s="127"/>
      <c r="GU18" s="127"/>
      <c r="GV18" s="127"/>
      <c r="GW18" s="127"/>
      <c r="GX18" s="127"/>
      <c r="GY18" s="127"/>
      <c r="GZ18" s="127"/>
      <c r="HA18" s="127"/>
      <c r="HB18" s="127"/>
      <c r="HC18" s="127"/>
      <c r="HD18" s="127"/>
      <c r="HE18" s="127"/>
      <c r="HF18" s="127"/>
      <c r="HG18" s="127"/>
      <c r="HH18" s="127"/>
      <c r="HI18" s="127"/>
      <c r="HJ18" s="127"/>
      <c r="HK18" s="127"/>
      <c r="HL18" s="127"/>
      <c r="HM18" s="127"/>
      <c r="HN18" s="127"/>
      <c r="HO18" s="127"/>
      <c r="HP18" s="127"/>
      <c r="HQ18" s="127"/>
      <c r="HR18" s="127"/>
      <c r="HS18" s="127"/>
      <c r="HT18" s="127"/>
      <c r="HU18" s="127"/>
      <c r="HV18" s="127"/>
      <c r="HW18" s="127"/>
      <c r="HX18" s="127"/>
      <c r="HY18" s="127"/>
      <c r="HZ18" s="127"/>
      <c r="IA18" s="127"/>
      <c r="IB18" s="127"/>
      <c r="IC18" s="127"/>
      <c r="ID18" s="127"/>
      <c r="IE18" s="127"/>
      <c r="IF18" s="127"/>
      <c r="IG18" s="127"/>
      <c r="IH18" s="127"/>
      <c r="II18" s="127"/>
      <c r="IJ18" s="127"/>
      <c r="IK18" s="127"/>
      <c r="IL18" s="127"/>
      <c r="IM18" s="127"/>
      <c r="IN18" s="127"/>
      <c r="IO18" s="127"/>
      <c r="IP18" s="127"/>
      <c r="IQ18" s="127"/>
      <c r="IR18" s="127"/>
      <c r="IS18" s="127"/>
      <c r="IT18" s="127"/>
      <c r="IU18" s="127"/>
      <c r="IV18" s="127"/>
    </row>
    <row r="19" spans="1:256" s="95" customFormat="1" ht="14.4" thickBot="1">
      <c r="A19" s="50">
        <v>6</v>
      </c>
      <c r="B19" s="51" t="str">
        <f t="shared" si="2"/>
        <v>10°C</v>
      </c>
      <c r="C19" s="51" t="str">
        <f>E$10</f>
        <v>50%</v>
      </c>
      <c r="D19" s="51" t="str">
        <f>D$11</f>
        <v>3 h.</v>
      </c>
      <c r="E19" s="52">
        <f t="shared" si="1"/>
        <v>330</v>
      </c>
      <c r="F19" s="57">
        <v>330</v>
      </c>
      <c r="G19" s="57"/>
      <c r="H19" s="57"/>
      <c r="I19" s="57"/>
      <c r="J19" s="57"/>
      <c r="K19" s="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27"/>
      <c r="BE19" s="127"/>
      <c r="BF19" s="127"/>
      <c r="BG19" s="127"/>
      <c r="BH19" s="127"/>
      <c r="BI19" s="127"/>
      <c r="BJ19" s="127"/>
      <c r="BK19" s="127"/>
      <c r="BL19" s="127"/>
      <c r="BM19" s="127"/>
      <c r="BN19" s="127"/>
      <c r="BO19" s="127"/>
      <c r="BP19" s="127"/>
      <c r="BQ19" s="127"/>
      <c r="BR19" s="127"/>
      <c r="BS19" s="127"/>
      <c r="BT19" s="127"/>
      <c r="BU19" s="127"/>
      <c r="BV19" s="127"/>
      <c r="BW19" s="127"/>
      <c r="BX19" s="127"/>
      <c r="BY19" s="127"/>
      <c r="BZ19" s="127"/>
      <c r="CA19" s="127"/>
      <c r="CB19" s="127"/>
      <c r="CC19" s="127"/>
      <c r="CD19" s="127"/>
      <c r="CE19" s="127"/>
      <c r="CF19" s="127"/>
      <c r="CG19" s="127"/>
      <c r="CH19" s="127"/>
      <c r="CI19" s="127"/>
      <c r="CJ19" s="127"/>
      <c r="CK19" s="127"/>
      <c r="CL19" s="127"/>
      <c r="CM19" s="127"/>
      <c r="CN19" s="127"/>
      <c r="CO19" s="127"/>
      <c r="CP19" s="127"/>
      <c r="CQ19" s="127"/>
      <c r="CR19" s="127"/>
      <c r="CS19" s="127"/>
      <c r="CT19" s="127"/>
      <c r="CU19" s="127"/>
      <c r="CV19" s="127"/>
      <c r="CW19" s="127"/>
      <c r="CX19" s="127"/>
      <c r="CY19" s="127"/>
      <c r="CZ19" s="127"/>
      <c r="DA19" s="127"/>
      <c r="DB19" s="127"/>
      <c r="DC19" s="127"/>
      <c r="DD19" s="127"/>
      <c r="DE19" s="127"/>
      <c r="DF19" s="127"/>
      <c r="DG19" s="127"/>
      <c r="DH19" s="127"/>
      <c r="DI19" s="127"/>
      <c r="DJ19" s="127"/>
      <c r="DK19" s="127"/>
      <c r="DL19" s="127"/>
      <c r="DM19" s="127"/>
      <c r="DN19" s="127"/>
      <c r="DO19" s="127"/>
      <c r="DP19" s="127"/>
      <c r="DQ19" s="127"/>
      <c r="DR19" s="127"/>
      <c r="DS19" s="127"/>
      <c r="DT19" s="127"/>
      <c r="DU19" s="127"/>
      <c r="DV19" s="127"/>
      <c r="DW19" s="127"/>
      <c r="DX19" s="127"/>
      <c r="DY19" s="127"/>
      <c r="DZ19" s="127"/>
      <c r="EA19" s="127"/>
      <c r="EB19" s="127"/>
      <c r="EC19" s="127"/>
      <c r="ED19" s="127"/>
      <c r="EE19" s="127"/>
      <c r="EF19" s="127"/>
      <c r="EG19" s="127"/>
      <c r="EH19" s="127"/>
      <c r="EI19" s="127"/>
      <c r="EJ19" s="127"/>
      <c r="EK19" s="127"/>
      <c r="EL19" s="127"/>
      <c r="EM19" s="127"/>
      <c r="EN19" s="127"/>
      <c r="EO19" s="127"/>
      <c r="EP19" s="127"/>
      <c r="EQ19" s="127"/>
      <c r="ER19" s="127"/>
      <c r="ES19" s="127"/>
      <c r="ET19" s="127"/>
      <c r="EU19" s="127"/>
      <c r="EV19" s="127"/>
      <c r="EW19" s="127"/>
      <c r="EX19" s="127"/>
      <c r="EY19" s="127"/>
      <c r="EZ19" s="127"/>
      <c r="FA19" s="127"/>
      <c r="FB19" s="127"/>
      <c r="FC19" s="127"/>
      <c r="FD19" s="127"/>
      <c r="FE19" s="127"/>
      <c r="FF19" s="127"/>
      <c r="FG19" s="127"/>
      <c r="FH19" s="127"/>
      <c r="FI19" s="127"/>
      <c r="FJ19" s="127"/>
      <c r="FK19" s="127"/>
      <c r="FL19" s="127"/>
      <c r="FM19" s="127"/>
      <c r="FN19" s="127"/>
      <c r="FO19" s="127"/>
      <c r="FP19" s="127"/>
      <c r="FQ19" s="127"/>
      <c r="FR19" s="127"/>
      <c r="FS19" s="127"/>
      <c r="FT19" s="127"/>
      <c r="FU19" s="127"/>
      <c r="FV19" s="127"/>
      <c r="FW19" s="127"/>
      <c r="FX19" s="127"/>
      <c r="FY19" s="127"/>
      <c r="FZ19" s="127"/>
      <c r="GA19" s="127"/>
      <c r="GB19" s="127"/>
      <c r="GC19" s="127"/>
      <c r="GD19" s="127"/>
      <c r="GE19" s="127"/>
      <c r="GF19" s="127"/>
      <c r="GG19" s="127"/>
      <c r="GH19" s="127"/>
      <c r="GI19" s="127"/>
      <c r="GJ19" s="127"/>
      <c r="GK19" s="127"/>
      <c r="GL19" s="127"/>
      <c r="GM19" s="127"/>
      <c r="GN19" s="127"/>
      <c r="GO19" s="127"/>
      <c r="GP19" s="127"/>
      <c r="GQ19" s="127"/>
      <c r="GR19" s="127"/>
      <c r="GS19" s="127"/>
      <c r="GT19" s="127"/>
      <c r="GU19" s="127"/>
      <c r="GV19" s="127"/>
      <c r="GW19" s="127"/>
      <c r="GX19" s="127"/>
      <c r="GY19" s="127"/>
      <c r="GZ19" s="127"/>
      <c r="HA19" s="127"/>
      <c r="HB19" s="127"/>
      <c r="HC19" s="127"/>
      <c r="HD19" s="127"/>
      <c r="HE19" s="127"/>
      <c r="HF19" s="127"/>
      <c r="HG19" s="127"/>
      <c r="HH19" s="127"/>
      <c r="HI19" s="127"/>
      <c r="HJ19" s="127"/>
      <c r="HK19" s="127"/>
      <c r="HL19" s="127"/>
      <c r="HM19" s="127"/>
      <c r="HN19" s="127"/>
      <c r="HO19" s="127"/>
      <c r="HP19" s="127"/>
      <c r="HQ19" s="127"/>
      <c r="HR19" s="127"/>
      <c r="HS19" s="127"/>
      <c r="HT19" s="127"/>
      <c r="HU19" s="127"/>
      <c r="HV19" s="127"/>
      <c r="HW19" s="127"/>
      <c r="HX19" s="127"/>
      <c r="HY19" s="127"/>
      <c r="HZ19" s="127"/>
      <c r="IA19" s="127"/>
      <c r="IB19" s="127"/>
      <c r="IC19" s="127"/>
      <c r="ID19" s="127"/>
      <c r="IE19" s="127"/>
      <c r="IF19" s="127"/>
      <c r="IG19" s="127"/>
      <c r="IH19" s="127"/>
      <c r="II19" s="127"/>
      <c r="IJ19" s="127"/>
      <c r="IK19" s="127"/>
      <c r="IL19" s="127"/>
      <c r="IM19" s="127"/>
      <c r="IN19" s="127"/>
      <c r="IO19" s="127"/>
      <c r="IP19" s="127"/>
      <c r="IQ19" s="127"/>
      <c r="IR19" s="127"/>
      <c r="IS19" s="127"/>
      <c r="IT19" s="127"/>
      <c r="IU19" s="127"/>
      <c r="IV19" s="127"/>
    </row>
    <row r="20" spans="1:256" ht="13.8">
      <c r="A20" s="50">
        <v>7</v>
      </c>
      <c r="B20" s="51" t="str">
        <f>D$9</f>
        <v>20°C</v>
      </c>
      <c r="C20" s="51" t="str">
        <f>C$10</f>
        <v>10%</v>
      </c>
      <c r="D20" s="51" t="str">
        <f>C$11</f>
        <v>1 h.</v>
      </c>
      <c r="E20" s="52">
        <f t="shared" si="1"/>
        <v>362.5</v>
      </c>
      <c r="F20" s="57">
        <v>362.5</v>
      </c>
      <c r="G20" s="57"/>
      <c r="H20" s="57"/>
      <c r="I20" s="57"/>
      <c r="J20" s="57"/>
      <c r="K20" s="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  <c r="BA20" s="127"/>
      <c r="BB20" s="127"/>
      <c r="BC20" s="127"/>
      <c r="BD20" s="127"/>
      <c r="BE20" s="127"/>
      <c r="BF20" s="127"/>
      <c r="BG20" s="127"/>
      <c r="BH20" s="127"/>
      <c r="BI20" s="127"/>
      <c r="BJ20" s="127"/>
      <c r="BK20" s="127"/>
      <c r="BL20" s="127"/>
      <c r="BM20" s="127"/>
      <c r="BN20" s="127"/>
      <c r="BO20" s="127"/>
      <c r="BP20" s="127"/>
      <c r="BQ20" s="127"/>
      <c r="BR20" s="127"/>
      <c r="BS20" s="127"/>
      <c r="BT20" s="127"/>
      <c r="BU20" s="127"/>
      <c r="BV20" s="127"/>
      <c r="BW20" s="127"/>
      <c r="BX20" s="127"/>
      <c r="BY20" s="127"/>
      <c r="BZ20" s="127"/>
      <c r="CA20" s="127"/>
      <c r="CB20" s="127"/>
      <c r="CC20" s="127"/>
      <c r="CD20" s="127"/>
      <c r="CE20" s="127"/>
      <c r="CF20" s="127"/>
      <c r="CG20" s="127"/>
      <c r="CH20" s="127"/>
      <c r="CI20" s="127"/>
      <c r="CJ20" s="127"/>
      <c r="CK20" s="127"/>
      <c r="CL20" s="127"/>
      <c r="CM20" s="127"/>
      <c r="CN20" s="127"/>
      <c r="CO20" s="127"/>
      <c r="CP20" s="127"/>
      <c r="CQ20" s="127"/>
      <c r="CR20" s="127"/>
      <c r="CS20" s="127"/>
      <c r="CT20" s="127"/>
      <c r="CU20" s="127"/>
      <c r="CV20" s="127"/>
      <c r="CW20" s="127"/>
      <c r="CX20" s="127"/>
      <c r="CY20" s="127"/>
      <c r="CZ20" s="127"/>
      <c r="DA20" s="127"/>
      <c r="DB20" s="127"/>
      <c r="DC20" s="127"/>
      <c r="DD20" s="127"/>
      <c r="DE20" s="127"/>
      <c r="DF20" s="127"/>
      <c r="DG20" s="127"/>
      <c r="DH20" s="127"/>
      <c r="DI20" s="127"/>
      <c r="DJ20" s="127"/>
      <c r="DK20" s="127"/>
      <c r="DL20" s="127"/>
      <c r="DM20" s="127"/>
      <c r="DN20" s="127"/>
      <c r="DO20" s="127"/>
      <c r="DP20" s="127"/>
      <c r="DQ20" s="127"/>
      <c r="DR20" s="127"/>
      <c r="DS20" s="127"/>
      <c r="DT20" s="127"/>
      <c r="DU20" s="127"/>
      <c r="DV20" s="127"/>
      <c r="DW20" s="127"/>
      <c r="DX20" s="127"/>
      <c r="DY20" s="127"/>
      <c r="DZ20" s="127"/>
      <c r="EA20" s="127"/>
      <c r="EB20" s="127"/>
      <c r="EC20" s="127"/>
      <c r="ED20" s="127"/>
      <c r="EE20" s="127"/>
      <c r="EF20" s="127"/>
      <c r="EG20" s="127"/>
      <c r="EH20" s="127"/>
      <c r="EI20" s="127"/>
      <c r="EJ20" s="127"/>
      <c r="EK20" s="127"/>
      <c r="EL20" s="127"/>
      <c r="EM20" s="127"/>
      <c r="EN20" s="127"/>
      <c r="EO20" s="127"/>
      <c r="EP20" s="127"/>
      <c r="EQ20" s="127"/>
      <c r="ER20" s="127"/>
      <c r="ES20" s="127"/>
      <c r="ET20" s="127"/>
      <c r="EU20" s="127"/>
      <c r="EV20" s="127"/>
      <c r="EW20" s="127"/>
      <c r="EX20" s="127"/>
      <c r="EY20" s="127"/>
      <c r="EZ20" s="127"/>
      <c r="FA20" s="127"/>
      <c r="FB20" s="127"/>
      <c r="FC20" s="127"/>
      <c r="FD20" s="127"/>
      <c r="FE20" s="127"/>
      <c r="FF20" s="127"/>
      <c r="FG20" s="127"/>
      <c r="FH20" s="127"/>
      <c r="FI20" s="127"/>
      <c r="FJ20" s="127"/>
      <c r="FK20" s="127"/>
      <c r="FL20" s="127"/>
      <c r="FM20" s="127"/>
      <c r="FN20" s="127"/>
      <c r="FO20" s="127"/>
      <c r="FP20" s="127"/>
      <c r="FQ20" s="127"/>
      <c r="FR20" s="127"/>
      <c r="FS20" s="127"/>
      <c r="FT20" s="127"/>
      <c r="FU20" s="127"/>
      <c r="FV20" s="127"/>
      <c r="FW20" s="127"/>
      <c r="FX20" s="127"/>
      <c r="FY20" s="127"/>
      <c r="FZ20" s="127"/>
      <c r="GA20" s="127"/>
      <c r="GB20" s="127"/>
      <c r="GC20" s="127"/>
      <c r="GD20" s="127"/>
      <c r="GE20" s="127"/>
      <c r="GF20" s="127"/>
      <c r="GG20" s="127"/>
      <c r="GH20" s="127"/>
      <c r="GI20" s="127"/>
      <c r="GJ20" s="127"/>
      <c r="GK20" s="127"/>
      <c r="GL20" s="127"/>
      <c r="GM20" s="127"/>
      <c r="GN20" s="127"/>
      <c r="GO20" s="127"/>
      <c r="GP20" s="127"/>
      <c r="GQ20" s="127"/>
      <c r="GR20" s="127"/>
      <c r="GS20" s="127"/>
      <c r="GT20" s="127"/>
      <c r="GU20" s="127"/>
      <c r="GV20" s="127"/>
      <c r="GW20" s="127"/>
      <c r="GX20" s="127"/>
      <c r="GY20" s="127"/>
      <c r="GZ20" s="127"/>
      <c r="HA20" s="127"/>
      <c r="HB20" s="127"/>
      <c r="HC20" s="127"/>
      <c r="HD20" s="127"/>
      <c r="HE20" s="127"/>
      <c r="HF20" s="127"/>
      <c r="HG20" s="127"/>
      <c r="HH20" s="127"/>
      <c r="HI20" s="127"/>
      <c r="HJ20" s="127"/>
      <c r="HK20" s="127"/>
      <c r="HL20" s="127"/>
      <c r="HM20" s="127"/>
      <c r="HN20" s="127"/>
      <c r="HO20" s="127"/>
      <c r="HP20" s="127"/>
      <c r="HQ20" s="127"/>
      <c r="HR20" s="127"/>
      <c r="HS20" s="127"/>
      <c r="HT20" s="127"/>
      <c r="HU20" s="127"/>
      <c r="HV20" s="127"/>
      <c r="HW20" s="127"/>
      <c r="HX20" s="127"/>
      <c r="HY20" s="127"/>
      <c r="HZ20" s="127"/>
      <c r="IA20" s="127"/>
      <c r="IB20" s="127"/>
      <c r="IC20" s="127"/>
      <c r="ID20" s="127"/>
      <c r="IE20" s="127"/>
      <c r="IF20" s="127"/>
      <c r="IG20" s="127"/>
      <c r="IH20" s="127"/>
      <c r="II20" s="127"/>
      <c r="IJ20" s="127"/>
      <c r="IK20" s="127"/>
      <c r="IL20" s="127"/>
      <c r="IM20" s="127"/>
      <c r="IN20" s="127"/>
      <c r="IO20" s="127"/>
      <c r="IP20" s="127"/>
      <c r="IQ20" s="127"/>
      <c r="IR20" s="127"/>
      <c r="IS20" s="127"/>
      <c r="IT20" s="127"/>
      <c r="IU20" s="127"/>
      <c r="IV20" s="127"/>
    </row>
    <row r="21" spans="1:256" s="95" customFormat="1" ht="14.4" thickBot="1">
      <c r="A21" s="50">
        <v>8</v>
      </c>
      <c r="B21" s="51" t="str">
        <f t="shared" ref="B21:B25" si="3">D$9</f>
        <v>20°C</v>
      </c>
      <c r="C21" s="51" t="str">
        <f>C$10</f>
        <v>10%</v>
      </c>
      <c r="D21" s="51" t="str">
        <f>D$11</f>
        <v>3 h.</v>
      </c>
      <c r="E21" s="52">
        <f t="shared" si="1"/>
        <v>460</v>
      </c>
      <c r="F21" s="57">
        <v>460</v>
      </c>
      <c r="G21" s="57"/>
      <c r="H21" s="57"/>
      <c r="I21" s="57"/>
      <c r="J21" s="57"/>
      <c r="K21" s="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  <c r="BZ21" s="127"/>
      <c r="CA21" s="127"/>
      <c r="CB21" s="127"/>
      <c r="CC21" s="127"/>
      <c r="CD21" s="127"/>
      <c r="CE21" s="127"/>
      <c r="CF21" s="127"/>
      <c r="CG21" s="127"/>
      <c r="CH21" s="127"/>
      <c r="CI21" s="127"/>
      <c r="CJ21" s="127"/>
      <c r="CK21" s="127"/>
      <c r="CL21" s="127"/>
      <c r="CM21" s="127"/>
      <c r="CN21" s="127"/>
      <c r="CO21" s="127"/>
      <c r="CP21" s="127"/>
      <c r="CQ21" s="127"/>
      <c r="CR21" s="127"/>
      <c r="CS21" s="127"/>
      <c r="CT21" s="127"/>
      <c r="CU21" s="127"/>
      <c r="CV21" s="127"/>
      <c r="CW21" s="127"/>
      <c r="CX21" s="127"/>
      <c r="CY21" s="127"/>
      <c r="CZ21" s="127"/>
      <c r="DA21" s="127"/>
      <c r="DB21" s="127"/>
      <c r="DC21" s="127"/>
      <c r="DD21" s="127"/>
      <c r="DE21" s="127"/>
      <c r="DF21" s="127"/>
      <c r="DG21" s="127"/>
      <c r="DH21" s="127"/>
      <c r="DI21" s="127"/>
      <c r="DJ21" s="127"/>
      <c r="DK21" s="127"/>
      <c r="DL21" s="127"/>
      <c r="DM21" s="127"/>
      <c r="DN21" s="127"/>
      <c r="DO21" s="127"/>
      <c r="DP21" s="127"/>
      <c r="DQ21" s="127"/>
      <c r="DR21" s="127"/>
      <c r="DS21" s="127"/>
      <c r="DT21" s="127"/>
      <c r="DU21" s="127"/>
      <c r="DV21" s="127"/>
      <c r="DW21" s="127"/>
      <c r="DX21" s="127"/>
      <c r="DY21" s="127"/>
      <c r="DZ21" s="127"/>
      <c r="EA21" s="127"/>
      <c r="EB21" s="127"/>
      <c r="EC21" s="127"/>
      <c r="ED21" s="127"/>
      <c r="EE21" s="127"/>
      <c r="EF21" s="127"/>
      <c r="EG21" s="127"/>
      <c r="EH21" s="127"/>
      <c r="EI21" s="127"/>
      <c r="EJ21" s="127"/>
      <c r="EK21" s="127"/>
      <c r="EL21" s="127"/>
      <c r="EM21" s="127"/>
      <c r="EN21" s="127"/>
      <c r="EO21" s="127"/>
      <c r="EP21" s="127"/>
      <c r="EQ21" s="127"/>
      <c r="ER21" s="127"/>
      <c r="ES21" s="127"/>
      <c r="ET21" s="127"/>
      <c r="EU21" s="127"/>
      <c r="EV21" s="127"/>
      <c r="EW21" s="127"/>
      <c r="EX21" s="127"/>
      <c r="EY21" s="127"/>
      <c r="EZ21" s="127"/>
      <c r="FA21" s="127"/>
      <c r="FB21" s="127"/>
      <c r="FC21" s="127"/>
      <c r="FD21" s="127"/>
      <c r="FE21" s="127"/>
      <c r="FF21" s="127"/>
      <c r="FG21" s="127"/>
      <c r="FH21" s="127"/>
      <c r="FI21" s="127"/>
      <c r="FJ21" s="127"/>
      <c r="FK21" s="127"/>
      <c r="FL21" s="127"/>
      <c r="FM21" s="127"/>
      <c r="FN21" s="127"/>
      <c r="FO21" s="127"/>
      <c r="FP21" s="127"/>
      <c r="FQ21" s="127"/>
      <c r="FR21" s="127"/>
      <c r="FS21" s="127"/>
      <c r="FT21" s="127"/>
      <c r="FU21" s="127"/>
      <c r="FV21" s="127"/>
      <c r="FW21" s="127"/>
      <c r="FX21" s="127"/>
      <c r="FY21" s="127"/>
      <c r="FZ21" s="127"/>
      <c r="GA21" s="127"/>
      <c r="GB21" s="127"/>
      <c r="GC21" s="127"/>
      <c r="GD21" s="127"/>
      <c r="GE21" s="127"/>
      <c r="GF21" s="127"/>
      <c r="GG21" s="127"/>
      <c r="GH21" s="127"/>
      <c r="GI21" s="127"/>
      <c r="GJ21" s="127"/>
      <c r="GK21" s="127"/>
      <c r="GL21" s="127"/>
      <c r="GM21" s="127"/>
      <c r="GN21" s="127"/>
      <c r="GO21" s="127"/>
      <c r="GP21" s="127"/>
      <c r="GQ21" s="127"/>
      <c r="GR21" s="127"/>
      <c r="GS21" s="127"/>
      <c r="GT21" s="127"/>
      <c r="GU21" s="127"/>
      <c r="GV21" s="127"/>
      <c r="GW21" s="127"/>
      <c r="GX21" s="127"/>
      <c r="GY21" s="127"/>
      <c r="GZ21" s="127"/>
      <c r="HA21" s="127"/>
      <c r="HB21" s="127"/>
      <c r="HC21" s="127"/>
      <c r="HD21" s="127"/>
      <c r="HE21" s="127"/>
      <c r="HF21" s="127"/>
      <c r="HG21" s="127"/>
      <c r="HH21" s="127"/>
      <c r="HI21" s="127"/>
      <c r="HJ21" s="127"/>
      <c r="HK21" s="127"/>
      <c r="HL21" s="127"/>
      <c r="HM21" s="127"/>
      <c r="HN21" s="127"/>
      <c r="HO21" s="127"/>
      <c r="HP21" s="127"/>
      <c r="HQ21" s="127"/>
      <c r="HR21" s="127"/>
      <c r="HS21" s="127"/>
      <c r="HT21" s="127"/>
      <c r="HU21" s="127"/>
      <c r="HV21" s="127"/>
      <c r="HW21" s="127"/>
      <c r="HX21" s="127"/>
      <c r="HY21" s="127"/>
      <c r="HZ21" s="127"/>
      <c r="IA21" s="127"/>
      <c r="IB21" s="127"/>
      <c r="IC21" s="127"/>
      <c r="ID21" s="127"/>
      <c r="IE21" s="127"/>
      <c r="IF21" s="127"/>
      <c r="IG21" s="127"/>
      <c r="IH21" s="127"/>
      <c r="II21" s="127"/>
      <c r="IJ21" s="127"/>
      <c r="IK21" s="127"/>
      <c r="IL21" s="127"/>
      <c r="IM21" s="127"/>
      <c r="IN21" s="127"/>
      <c r="IO21" s="127"/>
      <c r="IP21" s="127"/>
      <c r="IQ21" s="127"/>
      <c r="IR21" s="127"/>
      <c r="IS21" s="127"/>
      <c r="IT21" s="127"/>
      <c r="IU21" s="127"/>
      <c r="IV21" s="127"/>
    </row>
    <row r="22" spans="1:256" ht="13.8">
      <c r="A22" s="50">
        <v>9</v>
      </c>
      <c r="B22" s="51" t="str">
        <f t="shared" si="3"/>
        <v>20°C</v>
      </c>
      <c r="C22" s="134">
        <v>0.3</v>
      </c>
      <c r="D22" s="51" t="str">
        <f>C$11</f>
        <v>1 h.</v>
      </c>
      <c r="E22" s="52">
        <f t="shared" si="1"/>
        <v>492.5</v>
      </c>
      <c r="F22" s="57">
        <v>492.5</v>
      </c>
      <c r="G22" s="57"/>
      <c r="H22" s="57"/>
      <c r="I22" s="57"/>
      <c r="J22" s="57"/>
      <c r="K22" s="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  <c r="BA22" s="127"/>
      <c r="BB22" s="127"/>
      <c r="BC22" s="127"/>
      <c r="BD22" s="127"/>
      <c r="BE22" s="127"/>
      <c r="BF22" s="127"/>
      <c r="BG22" s="127"/>
      <c r="BH22" s="127"/>
      <c r="BI22" s="127"/>
      <c r="BJ22" s="127"/>
      <c r="BK22" s="127"/>
      <c r="BL22" s="127"/>
      <c r="BM22" s="127"/>
      <c r="BN22" s="127"/>
      <c r="BO22" s="127"/>
      <c r="BP22" s="127"/>
      <c r="BQ22" s="127"/>
      <c r="BR22" s="127"/>
      <c r="BS22" s="127"/>
      <c r="BT22" s="127"/>
      <c r="BU22" s="127"/>
      <c r="BV22" s="127"/>
      <c r="BW22" s="127"/>
      <c r="BX22" s="127"/>
      <c r="BY22" s="127"/>
      <c r="BZ22" s="127"/>
      <c r="CA22" s="127"/>
      <c r="CB22" s="127"/>
      <c r="CC22" s="127"/>
      <c r="CD22" s="127"/>
      <c r="CE22" s="127"/>
      <c r="CF22" s="127"/>
      <c r="CG22" s="127"/>
      <c r="CH22" s="127"/>
      <c r="CI22" s="127"/>
      <c r="CJ22" s="127"/>
      <c r="CK22" s="127"/>
      <c r="CL22" s="127"/>
      <c r="CM22" s="127"/>
      <c r="CN22" s="127"/>
      <c r="CO22" s="127"/>
      <c r="CP22" s="127"/>
      <c r="CQ22" s="127"/>
      <c r="CR22" s="127"/>
      <c r="CS22" s="127"/>
      <c r="CT22" s="127"/>
      <c r="CU22" s="127"/>
      <c r="CV22" s="127"/>
      <c r="CW22" s="127"/>
      <c r="CX22" s="127"/>
      <c r="CY22" s="127"/>
      <c r="CZ22" s="127"/>
      <c r="DA22" s="127"/>
      <c r="DB22" s="127"/>
      <c r="DC22" s="127"/>
      <c r="DD22" s="127"/>
      <c r="DE22" s="127"/>
      <c r="DF22" s="127"/>
      <c r="DG22" s="127"/>
      <c r="DH22" s="127"/>
      <c r="DI22" s="127"/>
      <c r="DJ22" s="127"/>
      <c r="DK22" s="127"/>
      <c r="DL22" s="127"/>
      <c r="DM22" s="127"/>
      <c r="DN22" s="127"/>
      <c r="DO22" s="127"/>
      <c r="DP22" s="127"/>
      <c r="DQ22" s="127"/>
      <c r="DR22" s="127"/>
      <c r="DS22" s="127"/>
      <c r="DT22" s="127"/>
      <c r="DU22" s="127"/>
      <c r="DV22" s="127"/>
      <c r="DW22" s="127"/>
      <c r="DX22" s="127"/>
      <c r="DY22" s="127"/>
      <c r="DZ22" s="127"/>
      <c r="EA22" s="127"/>
      <c r="EB22" s="127"/>
      <c r="EC22" s="127"/>
      <c r="ED22" s="127"/>
      <c r="EE22" s="127"/>
      <c r="EF22" s="127"/>
      <c r="EG22" s="127"/>
      <c r="EH22" s="127"/>
      <c r="EI22" s="127"/>
      <c r="EJ22" s="127"/>
      <c r="EK22" s="127"/>
      <c r="EL22" s="127"/>
      <c r="EM22" s="127"/>
      <c r="EN22" s="127"/>
      <c r="EO22" s="127"/>
      <c r="EP22" s="127"/>
      <c r="EQ22" s="127"/>
      <c r="ER22" s="127"/>
      <c r="ES22" s="127"/>
      <c r="ET22" s="127"/>
      <c r="EU22" s="127"/>
      <c r="EV22" s="127"/>
      <c r="EW22" s="127"/>
      <c r="EX22" s="127"/>
      <c r="EY22" s="127"/>
      <c r="EZ22" s="127"/>
      <c r="FA22" s="127"/>
      <c r="FB22" s="127"/>
      <c r="FC22" s="127"/>
      <c r="FD22" s="127"/>
      <c r="FE22" s="127"/>
      <c r="FF22" s="127"/>
      <c r="FG22" s="127"/>
      <c r="FH22" s="127"/>
      <c r="FI22" s="127"/>
      <c r="FJ22" s="127"/>
      <c r="FK22" s="127"/>
      <c r="FL22" s="127"/>
      <c r="FM22" s="127"/>
      <c r="FN22" s="127"/>
      <c r="FO22" s="127"/>
      <c r="FP22" s="127"/>
      <c r="FQ22" s="127"/>
      <c r="FR22" s="127"/>
      <c r="FS22" s="127"/>
      <c r="FT22" s="127"/>
      <c r="FU22" s="127"/>
      <c r="FV22" s="127"/>
      <c r="FW22" s="127"/>
      <c r="FX22" s="127"/>
      <c r="FY22" s="127"/>
      <c r="FZ22" s="127"/>
      <c r="GA22" s="127"/>
      <c r="GB22" s="127"/>
      <c r="GC22" s="127"/>
      <c r="GD22" s="127"/>
      <c r="GE22" s="127"/>
      <c r="GF22" s="127"/>
      <c r="GG22" s="127"/>
      <c r="GH22" s="127"/>
      <c r="GI22" s="127"/>
      <c r="GJ22" s="127"/>
      <c r="GK22" s="127"/>
      <c r="GL22" s="127"/>
      <c r="GM22" s="127"/>
      <c r="GN22" s="127"/>
      <c r="GO22" s="127"/>
      <c r="GP22" s="127"/>
      <c r="GQ22" s="127"/>
      <c r="GR22" s="127"/>
      <c r="GS22" s="127"/>
      <c r="GT22" s="127"/>
      <c r="GU22" s="127"/>
      <c r="GV22" s="127"/>
      <c r="GW22" s="127"/>
      <c r="GX22" s="127"/>
      <c r="GY22" s="127"/>
      <c r="GZ22" s="127"/>
      <c r="HA22" s="127"/>
      <c r="HB22" s="127"/>
      <c r="HC22" s="127"/>
      <c r="HD22" s="127"/>
      <c r="HE22" s="127"/>
      <c r="HF22" s="127"/>
      <c r="HG22" s="127"/>
      <c r="HH22" s="127"/>
      <c r="HI22" s="127"/>
      <c r="HJ22" s="127"/>
      <c r="HK22" s="127"/>
      <c r="HL22" s="127"/>
      <c r="HM22" s="127"/>
      <c r="HN22" s="127"/>
      <c r="HO22" s="127"/>
      <c r="HP22" s="127"/>
      <c r="HQ22" s="127"/>
      <c r="HR22" s="127"/>
      <c r="HS22" s="127"/>
      <c r="HT22" s="127"/>
      <c r="HU22" s="127"/>
      <c r="HV22" s="127"/>
      <c r="HW22" s="127"/>
      <c r="HX22" s="127"/>
      <c r="HY22" s="127"/>
      <c r="HZ22" s="127"/>
      <c r="IA22" s="127"/>
      <c r="IB22" s="127"/>
      <c r="IC22" s="127"/>
      <c r="ID22" s="127"/>
      <c r="IE22" s="127"/>
      <c r="IF22" s="127"/>
      <c r="IG22" s="127"/>
      <c r="IH22" s="127"/>
      <c r="II22" s="127"/>
      <c r="IJ22" s="127"/>
      <c r="IK22" s="127"/>
      <c r="IL22" s="127"/>
      <c r="IM22" s="127"/>
      <c r="IN22" s="127"/>
      <c r="IO22" s="127"/>
      <c r="IP22" s="127"/>
      <c r="IQ22" s="127"/>
      <c r="IR22" s="127"/>
      <c r="IS22" s="127"/>
      <c r="IT22" s="127"/>
      <c r="IU22" s="127"/>
      <c r="IV22" s="127"/>
    </row>
    <row r="23" spans="1:256" s="95" customFormat="1" ht="14.4" thickBot="1">
      <c r="A23" s="50">
        <v>10</v>
      </c>
      <c r="B23" s="51" t="str">
        <f t="shared" si="3"/>
        <v>20°C</v>
      </c>
      <c r="C23" s="134">
        <v>0.3</v>
      </c>
      <c r="D23" s="51" t="str">
        <f>D$11</f>
        <v>3 h.</v>
      </c>
      <c r="E23" s="52">
        <f t="shared" si="1"/>
        <v>590</v>
      </c>
      <c r="F23" s="57">
        <v>590</v>
      </c>
      <c r="G23" s="57"/>
      <c r="H23" s="57"/>
      <c r="I23" s="57"/>
      <c r="J23" s="57"/>
      <c r="K23" s="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  <c r="HD23" s="127"/>
      <c r="HE23" s="127"/>
      <c r="HF23" s="127"/>
      <c r="HG23" s="127"/>
      <c r="HH23" s="127"/>
      <c r="HI23" s="127"/>
      <c r="HJ23" s="127"/>
      <c r="HK23" s="127"/>
      <c r="HL23" s="127"/>
      <c r="HM23" s="127"/>
      <c r="HN23" s="127"/>
      <c r="HO23" s="127"/>
      <c r="HP23" s="127"/>
      <c r="HQ23" s="127"/>
      <c r="HR23" s="127"/>
      <c r="HS23" s="127"/>
      <c r="HT23" s="127"/>
      <c r="HU23" s="127"/>
      <c r="HV23" s="127"/>
      <c r="HW23" s="127"/>
      <c r="HX23" s="127"/>
      <c r="HY23" s="127"/>
      <c r="HZ23" s="127"/>
      <c r="IA23" s="127"/>
      <c r="IB23" s="127"/>
      <c r="IC23" s="127"/>
      <c r="ID23" s="127"/>
      <c r="IE23" s="127"/>
      <c r="IF23" s="127"/>
      <c r="IG23" s="127"/>
      <c r="IH23" s="127"/>
      <c r="II23" s="127"/>
      <c r="IJ23" s="127"/>
      <c r="IK23" s="127"/>
      <c r="IL23" s="127"/>
      <c r="IM23" s="127"/>
      <c r="IN23" s="127"/>
      <c r="IO23" s="127"/>
      <c r="IP23" s="127"/>
      <c r="IQ23" s="127"/>
      <c r="IR23" s="127"/>
      <c r="IS23" s="127"/>
      <c r="IT23" s="127"/>
      <c r="IU23" s="127"/>
      <c r="IV23" s="127"/>
    </row>
    <row r="24" spans="1:256" ht="13.8">
      <c r="A24" s="50">
        <v>11</v>
      </c>
      <c r="B24" s="51" t="str">
        <f t="shared" si="3"/>
        <v>20°C</v>
      </c>
      <c r="C24" s="51" t="str">
        <f>E$10</f>
        <v>50%</v>
      </c>
      <c r="D24" s="51" t="str">
        <f>C$11</f>
        <v>1 h.</v>
      </c>
      <c r="E24" s="52">
        <f t="shared" si="1"/>
        <v>622.5</v>
      </c>
      <c r="F24" s="57">
        <v>622.5</v>
      </c>
      <c r="G24" s="57"/>
      <c r="H24" s="57"/>
      <c r="I24" s="57"/>
      <c r="J24" s="57"/>
      <c r="K24" s="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127"/>
      <c r="AU24" s="127"/>
      <c r="AV24" s="127"/>
      <c r="AW24" s="127"/>
      <c r="AX24" s="127"/>
      <c r="AY24" s="127"/>
      <c r="AZ24" s="127"/>
      <c r="BA24" s="127"/>
      <c r="BB24" s="127"/>
      <c r="BC24" s="127"/>
      <c r="BD24" s="127"/>
      <c r="BE24" s="127"/>
      <c r="BF24" s="127"/>
      <c r="BG24" s="127"/>
      <c r="BH24" s="127"/>
      <c r="BI24" s="127"/>
      <c r="BJ24" s="127"/>
      <c r="BK24" s="127"/>
      <c r="BL24" s="127"/>
      <c r="BM24" s="127"/>
      <c r="BN24" s="127"/>
      <c r="BO24" s="127"/>
      <c r="BP24" s="127"/>
      <c r="BQ24" s="127"/>
      <c r="BR24" s="127"/>
      <c r="BS24" s="127"/>
      <c r="BT24" s="127"/>
      <c r="BU24" s="127"/>
      <c r="BV24" s="127"/>
      <c r="BW24" s="127"/>
      <c r="BX24" s="127"/>
      <c r="BY24" s="127"/>
      <c r="BZ24" s="127"/>
      <c r="CA24" s="127"/>
      <c r="CB24" s="127"/>
      <c r="CC24" s="127"/>
      <c r="CD24" s="127"/>
      <c r="CE24" s="127"/>
      <c r="CF24" s="127"/>
      <c r="CG24" s="127"/>
      <c r="CH24" s="127"/>
      <c r="CI24" s="127"/>
      <c r="CJ24" s="127"/>
      <c r="CK24" s="127"/>
      <c r="CL24" s="127"/>
      <c r="CM24" s="127"/>
      <c r="CN24" s="127"/>
      <c r="CO24" s="127"/>
      <c r="CP24" s="127"/>
      <c r="CQ24" s="127"/>
      <c r="CR24" s="127"/>
      <c r="CS24" s="127"/>
      <c r="CT24" s="127"/>
      <c r="CU24" s="127"/>
      <c r="CV24" s="127"/>
      <c r="CW24" s="127"/>
      <c r="CX24" s="127"/>
      <c r="CY24" s="127"/>
      <c r="CZ24" s="127"/>
      <c r="DA24" s="127"/>
      <c r="DB24" s="127"/>
      <c r="DC24" s="127"/>
      <c r="DD24" s="127"/>
      <c r="DE24" s="127"/>
      <c r="DF24" s="127"/>
      <c r="DG24" s="127"/>
      <c r="DH24" s="127"/>
      <c r="DI24" s="127"/>
      <c r="DJ24" s="127"/>
      <c r="DK24" s="127"/>
      <c r="DL24" s="127"/>
      <c r="DM24" s="127"/>
      <c r="DN24" s="127"/>
      <c r="DO24" s="127"/>
      <c r="DP24" s="127"/>
      <c r="DQ24" s="127"/>
      <c r="DR24" s="127"/>
      <c r="DS24" s="127"/>
      <c r="DT24" s="127"/>
      <c r="DU24" s="127"/>
      <c r="DV24" s="127"/>
      <c r="DW24" s="127"/>
      <c r="DX24" s="127"/>
      <c r="DY24" s="127"/>
      <c r="DZ24" s="127"/>
      <c r="EA24" s="127"/>
      <c r="EB24" s="127"/>
      <c r="EC24" s="127"/>
      <c r="ED24" s="127"/>
      <c r="EE24" s="127"/>
      <c r="EF24" s="127"/>
      <c r="EG24" s="127"/>
      <c r="EH24" s="127"/>
      <c r="EI24" s="127"/>
      <c r="EJ24" s="127"/>
      <c r="EK24" s="127"/>
      <c r="EL24" s="127"/>
      <c r="EM24" s="127"/>
      <c r="EN24" s="127"/>
      <c r="EO24" s="127"/>
      <c r="EP24" s="127"/>
      <c r="EQ24" s="127"/>
      <c r="ER24" s="127"/>
      <c r="ES24" s="127"/>
      <c r="ET24" s="127"/>
      <c r="EU24" s="127"/>
      <c r="EV24" s="127"/>
      <c r="EW24" s="127"/>
      <c r="EX24" s="127"/>
      <c r="EY24" s="127"/>
      <c r="EZ24" s="127"/>
      <c r="FA24" s="127"/>
      <c r="FB24" s="127"/>
      <c r="FC24" s="127"/>
      <c r="FD24" s="127"/>
      <c r="FE24" s="127"/>
      <c r="FF24" s="127"/>
      <c r="FG24" s="127"/>
      <c r="FH24" s="127"/>
      <c r="FI24" s="127"/>
      <c r="FJ24" s="127"/>
      <c r="FK24" s="127"/>
      <c r="FL24" s="127"/>
      <c r="FM24" s="127"/>
      <c r="FN24" s="127"/>
      <c r="FO24" s="127"/>
      <c r="FP24" s="127"/>
      <c r="FQ24" s="127"/>
      <c r="FR24" s="127"/>
      <c r="FS24" s="127"/>
      <c r="FT24" s="127"/>
      <c r="FU24" s="127"/>
      <c r="FV24" s="127"/>
      <c r="FW24" s="127"/>
      <c r="FX24" s="127"/>
      <c r="FY24" s="127"/>
      <c r="FZ24" s="127"/>
      <c r="GA24" s="127"/>
      <c r="GB24" s="127"/>
      <c r="GC24" s="127"/>
      <c r="GD24" s="127"/>
      <c r="GE24" s="127"/>
      <c r="GF24" s="127"/>
      <c r="GG24" s="127"/>
      <c r="GH24" s="127"/>
      <c r="GI24" s="127"/>
      <c r="GJ24" s="127"/>
      <c r="GK24" s="127"/>
      <c r="GL24" s="127"/>
      <c r="GM24" s="127"/>
      <c r="GN24" s="127"/>
      <c r="GO24" s="127"/>
      <c r="GP24" s="127"/>
      <c r="GQ24" s="127"/>
      <c r="GR24" s="127"/>
      <c r="GS24" s="127"/>
      <c r="GT24" s="127"/>
      <c r="GU24" s="127"/>
      <c r="GV24" s="127"/>
      <c r="GW24" s="127"/>
      <c r="GX24" s="127"/>
      <c r="GY24" s="127"/>
      <c r="GZ24" s="127"/>
      <c r="HA24" s="127"/>
      <c r="HB24" s="127"/>
      <c r="HC24" s="127"/>
      <c r="HD24" s="127"/>
      <c r="HE24" s="127"/>
      <c r="HF24" s="127"/>
      <c r="HG24" s="127"/>
      <c r="HH24" s="127"/>
      <c r="HI24" s="127"/>
      <c r="HJ24" s="127"/>
      <c r="HK24" s="127"/>
      <c r="HL24" s="127"/>
      <c r="HM24" s="127"/>
      <c r="HN24" s="127"/>
      <c r="HO24" s="127"/>
      <c r="HP24" s="127"/>
      <c r="HQ24" s="127"/>
      <c r="HR24" s="127"/>
      <c r="HS24" s="127"/>
      <c r="HT24" s="127"/>
      <c r="HU24" s="127"/>
      <c r="HV24" s="127"/>
      <c r="HW24" s="127"/>
      <c r="HX24" s="127"/>
      <c r="HY24" s="127"/>
      <c r="HZ24" s="127"/>
      <c r="IA24" s="127"/>
      <c r="IB24" s="127"/>
      <c r="IC24" s="127"/>
      <c r="ID24" s="127"/>
      <c r="IE24" s="127"/>
      <c r="IF24" s="127"/>
      <c r="IG24" s="127"/>
      <c r="IH24" s="127"/>
      <c r="II24" s="127"/>
      <c r="IJ24" s="127"/>
      <c r="IK24" s="127"/>
      <c r="IL24" s="127"/>
      <c r="IM24" s="127"/>
      <c r="IN24" s="127"/>
      <c r="IO24" s="127"/>
      <c r="IP24" s="127"/>
      <c r="IQ24" s="127"/>
      <c r="IR24" s="127"/>
      <c r="IS24" s="127"/>
      <c r="IT24" s="127"/>
      <c r="IU24" s="127"/>
      <c r="IV24" s="127"/>
    </row>
    <row r="25" spans="1:256" s="95" customFormat="1" ht="14.4" thickBot="1">
      <c r="A25" s="50">
        <v>12</v>
      </c>
      <c r="B25" s="51" t="str">
        <f t="shared" si="3"/>
        <v>20°C</v>
      </c>
      <c r="C25" s="51" t="str">
        <f>E$10</f>
        <v>50%</v>
      </c>
      <c r="D25" s="51" t="str">
        <f>D$11</f>
        <v>3 h.</v>
      </c>
      <c r="E25" s="52">
        <f t="shared" si="1"/>
        <v>720</v>
      </c>
      <c r="F25" s="57">
        <v>720</v>
      </c>
      <c r="G25" s="57"/>
      <c r="H25" s="57"/>
      <c r="I25" s="57"/>
      <c r="J25" s="57"/>
      <c r="K25" s="27"/>
      <c r="L25" s="127"/>
      <c r="M25" s="127"/>
      <c r="N25" s="127"/>
      <c r="O25" s="127" t="str">
        <f>B9</f>
        <v>Temp.</v>
      </c>
      <c r="P25" s="127" t="str">
        <f>B9</f>
        <v>Temp.</v>
      </c>
      <c r="Q25" s="127" t="str">
        <f>B9</f>
        <v>Temp.</v>
      </c>
      <c r="R25" s="127" t="str">
        <f>B9</f>
        <v>Temp.</v>
      </c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7"/>
      <c r="AX25" s="127"/>
      <c r="AY25" s="127"/>
      <c r="AZ25" s="127"/>
      <c r="BA25" s="127"/>
      <c r="BB25" s="127"/>
      <c r="BC25" s="127"/>
      <c r="BD25" s="127"/>
      <c r="BE25" s="127"/>
      <c r="BF25" s="127"/>
      <c r="BG25" s="127"/>
      <c r="BH25" s="127"/>
      <c r="BI25" s="127"/>
      <c r="BJ25" s="127"/>
      <c r="BK25" s="127"/>
      <c r="BL25" s="127"/>
      <c r="BM25" s="127"/>
      <c r="BN25" s="127"/>
      <c r="BO25" s="127"/>
      <c r="BP25" s="127"/>
      <c r="BQ25" s="127"/>
      <c r="BR25" s="127"/>
      <c r="BS25" s="127"/>
      <c r="BT25" s="127"/>
      <c r="BU25" s="127"/>
      <c r="BV25" s="127"/>
      <c r="BW25" s="127"/>
      <c r="BX25" s="127"/>
      <c r="BY25" s="127"/>
      <c r="BZ25" s="127"/>
      <c r="CA25" s="127"/>
      <c r="CB25" s="127"/>
      <c r="CC25" s="127"/>
      <c r="CD25" s="127"/>
      <c r="CE25" s="127"/>
      <c r="CF25" s="127"/>
      <c r="CG25" s="127"/>
      <c r="CH25" s="127"/>
      <c r="CI25" s="127"/>
      <c r="CJ25" s="127"/>
      <c r="CK25" s="127"/>
      <c r="CL25" s="127"/>
      <c r="CM25" s="127"/>
      <c r="CN25" s="127"/>
      <c r="CO25" s="127"/>
      <c r="CP25" s="127"/>
      <c r="CQ25" s="127"/>
      <c r="CR25" s="127"/>
      <c r="CS25" s="127"/>
      <c r="CT25" s="127"/>
      <c r="CU25" s="127"/>
      <c r="CV25" s="127"/>
      <c r="CW25" s="127"/>
      <c r="CX25" s="127"/>
      <c r="CY25" s="127"/>
      <c r="CZ25" s="127"/>
      <c r="DA25" s="127"/>
      <c r="DB25" s="127"/>
      <c r="DC25" s="127"/>
      <c r="DD25" s="127"/>
      <c r="DE25" s="127"/>
      <c r="DF25" s="127"/>
      <c r="DG25" s="127"/>
      <c r="DH25" s="127"/>
      <c r="DI25" s="127"/>
      <c r="DJ25" s="127"/>
      <c r="DK25" s="127"/>
      <c r="DL25" s="127"/>
      <c r="DM25" s="127"/>
      <c r="DN25" s="127"/>
      <c r="DO25" s="127"/>
      <c r="DP25" s="127"/>
      <c r="DQ25" s="127"/>
      <c r="DR25" s="127"/>
      <c r="DS25" s="127"/>
      <c r="DT25" s="127"/>
      <c r="DU25" s="127"/>
      <c r="DV25" s="127"/>
      <c r="DW25" s="127"/>
      <c r="DX25" s="127"/>
      <c r="DY25" s="127"/>
      <c r="DZ25" s="127"/>
      <c r="EA25" s="127"/>
      <c r="EB25" s="127"/>
      <c r="EC25" s="127"/>
      <c r="ED25" s="127"/>
      <c r="EE25" s="127"/>
      <c r="EF25" s="127"/>
      <c r="EG25" s="127"/>
      <c r="EH25" s="127"/>
      <c r="EI25" s="127"/>
      <c r="EJ25" s="127"/>
      <c r="EK25" s="127"/>
      <c r="EL25" s="127"/>
      <c r="EM25" s="127"/>
      <c r="EN25" s="127"/>
      <c r="EO25" s="127"/>
      <c r="EP25" s="127"/>
      <c r="EQ25" s="127"/>
      <c r="ER25" s="127"/>
      <c r="ES25" s="127"/>
      <c r="ET25" s="127"/>
      <c r="EU25" s="127"/>
      <c r="EV25" s="127"/>
      <c r="EW25" s="127"/>
      <c r="EX25" s="127"/>
      <c r="EY25" s="127"/>
      <c r="EZ25" s="127"/>
      <c r="FA25" s="127"/>
      <c r="FB25" s="127"/>
      <c r="FC25" s="127"/>
      <c r="FD25" s="127"/>
      <c r="FE25" s="127"/>
      <c r="FF25" s="127"/>
      <c r="FG25" s="127"/>
      <c r="FH25" s="127"/>
      <c r="FI25" s="127"/>
      <c r="FJ25" s="127"/>
      <c r="FK25" s="127"/>
      <c r="FL25" s="127"/>
      <c r="FM25" s="127"/>
      <c r="FN25" s="127"/>
      <c r="FO25" s="127"/>
      <c r="FP25" s="127"/>
      <c r="FQ25" s="127"/>
      <c r="FR25" s="127"/>
      <c r="FS25" s="127"/>
      <c r="FT25" s="127"/>
      <c r="FU25" s="127"/>
      <c r="FV25" s="127"/>
      <c r="FW25" s="127"/>
      <c r="FX25" s="127"/>
      <c r="FY25" s="127"/>
      <c r="FZ25" s="127"/>
      <c r="GA25" s="127"/>
      <c r="GB25" s="127"/>
      <c r="GC25" s="127"/>
      <c r="GD25" s="127"/>
      <c r="GE25" s="127"/>
      <c r="GF25" s="127"/>
      <c r="GG25" s="127"/>
      <c r="GH25" s="127"/>
      <c r="GI25" s="127"/>
      <c r="GJ25" s="127"/>
      <c r="GK25" s="127"/>
      <c r="GL25" s="127"/>
      <c r="GM25" s="127"/>
      <c r="GN25" s="127"/>
      <c r="GO25" s="127"/>
      <c r="GP25" s="127"/>
      <c r="GQ25" s="127"/>
      <c r="GR25" s="127"/>
      <c r="GS25" s="127"/>
      <c r="GT25" s="127"/>
      <c r="GU25" s="127"/>
      <c r="GV25" s="127"/>
      <c r="GW25" s="127"/>
      <c r="GX25" s="127"/>
      <c r="GY25" s="127"/>
      <c r="GZ25" s="127"/>
      <c r="HA25" s="127"/>
      <c r="HB25" s="127"/>
      <c r="HC25" s="127"/>
      <c r="HD25" s="127"/>
      <c r="HE25" s="127"/>
      <c r="HF25" s="127"/>
      <c r="HG25" s="127"/>
      <c r="HH25" s="127"/>
      <c r="HI25" s="127"/>
      <c r="HJ25" s="127"/>
      <c r="HK25" s="127"/>
      <c r="HL25" s="127"/>
      <c r="HM25" s="127"/>
      <c r="HN25" s="127"/>
      <c r="HO25" s="127"/>
      <c r="HP25" s="127"/>
      <c r="HQ25" s="127"/>
      <c r="HR25" s="127"/>
      <c r="HS25" s="127"/>
      <c r="HT25" s="127"/>
      <c r="HU25" s="127"/>
      <c r="HV25" s="127"/>
      <c r="HW25" s="127"/>
      <c r="HX25" s="127"/>
      <c r="HY25" s="127"/>
      <c r="HZ25" s="127"/>
      <c r="IA25" s="127"/>
      <c r="IB25" s="127"/>
      <c r="IC25" s="127"/>
      <c r="ID25" s="127"/>
      <c r="IE25" s="127"/>
      <c r="IF25" s="127"/>
      <c r="IG25" s="127"/>
      <c r="IH25" s="127"/>
      <c r="II25" s="127"/>
      <c r="IJ25" s="127"/>
      <c r="IK25" s="127"/>
      <c r="IL25" s="127"/>
      <c r="IM25" s="127"/>
      <c r="IN25" s="127"/>
      <c r="IO25" s="127"/>
      <c r="IP25" s="127"/>
      <c r="IQ25" s="127"/>
      <c r="IR25" s="127"/>
      <c r="IS25" s="127"/>
      <c r="IT25" s="127"/>
      <c r="IU25" s="127"/>
      <c r="IV25" s="127"/>
    </row>
    <row r="26" spans="1:256" ht="13.8">
      <c r="A26" s="50">
        <v>13</v>
      </c>
      <c r="B26" s="51" t="str">
        <f>E$9</f>
        <v>30°C</v>
      </c>
      <c r="C26" s="51" t="str">
        <f>C$10</f>
        <v>10%</v>
      </c>
      <c r="D26" s="51" t="str">
        <f>C$11</f>
        <v>1 h.</v>
      </c>
      <c r="E26" s="52">
        <f t="shared" si="1"/>
        <v>752.5</v>
      </c>
      <c r="F26" s="57">
        <v>752.5</v>
      </c>
      <c r="G26" s="57"/>
      <c r="H26" s="57"/>
      <c r="I26" s="57"/>
      <c r="J26" s="57"/>
      <c r="K26" s="27"/>
      <c r="L26" s="127"/>
      <c r="M26" s="127"/>
      <c r="N26" s="127"/>
      <c r="O26" s="127" t="str">
        <f>C9</f>
        <v>10°C</v>
      </c>
      <c r="P26" s="127" t="str">
        <f>D9</f>
        <v>20°C</v>
      </c>
      <c r="Q26" s="127" t="str">
        <f>E9</f>
        <v>30°C</v>
      </c>
      <c r="R26" s="127" t="str">
        <f>F9</f>
        <v>40°C</v>
      </c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  <c r="AT26" s="127"/>
      <c r="AU26" s="127"/>
      <c r="AV26" s="127"/>
      <c r="AW26" s="127"/>
      <c r="AX26" s="127"/>
      <c r="AY26" s="127"/>
      <c r="AZ26" s="127"/>
      <c r="BA26" s="127"/>
      <c r="BB26" s="127"/>
      <c r="BC26" s="127"/>
      <c r="BD26" s="127"/>
      <c r="BE26" s="127"/>
      <c r="BF26" s="127"/>
      <c r="BG26" s="127"/>
      <c r="BH26" s="127"/>
      <c r="BI26" s="127"/>
      <c r="BJ26" s="127"/>
      <c r="BK26" s="127"/>
      <c r="BL26" s="127"/>
      <c r="BM26" s="127"/>
      <c r="BN26" s="127"/>
      <c r="BO26" s="127"/>
      <c r="BP26" s="127"/>
      <c r="BQ26" s="127"/>
      <c r="BR26" s="127"/>
      <c r="BS26" s="127"/>
      <c r="BT26" s="127"/>
      <c r="BU26" s="127"/>
      <c r="BV26" s="127"/>
      <c r="BW26" s="127"/>
      <c r="BX26" s="127"/>
      <c r="BY26" s="127"/>
      <c r="BZ26" s="127"/>
      <c r="CA26" s="127"/>
      <c r="CB26" s="127"/>
      <c r="CC26" s="127"/>
      <c r="CD26" s="127"/>
      <c r="CE26" s="127"/>
      <c r="CF26" s="127"/>
      <c r="CG26" s="127"/>
      <c r="CH26" s="127"/>
      <c r="CI26" s="127"/>
      <c r="CJ26" s="127"/>
      <c r="CK26" s="127"/>
      <c r="CL26" s="127"/>
      <c r="CM26" s="127"/>
      <c r="CN26" s="127"/>
      <c r="CO26" s="127"/>
      <c r="CP26" s="127"/>
      <c r="CQ26" s="127"/>
      <c r="CR26" s="127"/>
      <c r="CS26" s="127"/>
      <c r="CT26" s="127"/>
      <c r="CU26" s="127"/>
      <c r="CV26" s="127"/>
      <c r="CW26" s="127"/>
      <c r="CX26" s="127"/>
      <c r="CY26" s="127"/>
      <c r="CZ26" s="127"/>
      <c r="DA26" s="127"/>
      <c r="DB26" s="127"/>
      <c r="DC26" s="127"/>
      <c r="DD26" s="127"/>
      <c r="DE26" s="127"/>
      <c r="DF26" s="127"/>
      <c r="DG26" s="127"/>
      <c r="DH26" s="127"/>
      <c r="DI26" s="127"/>
      <c r="DJ26" s="127"/>
      <c r="DK26" s="127"/>
      <c r="DL26" s="127"/>
      <c r="DM26" s="127"/>
      <c r="DN26" s="127"/>
      <c r="DO26" s="127"/>
      <c r="DP26" s="127"/>
      <c r="DQ26" s="127"/>
      <c r="DR26" s="127"/>
      <c r="DS26" s="127"/>
      <c r="DT26" s="127"/>
      <c r="DU26" s="127"/>
      <c r="DV26" s="127"/>
      <c r="DW26" s="127"/>
      <c r="DX26" s="127"/>
      <c r="DY26" s="127"/>
      <c r="DZ26" s="127"/>
      <c r="EA26" s="127"/>
      <c r="EB26" s="127"/>
      <c r="EC26" s="127"/>
      <c r="ED26" s="127"/>
      <c r="EE26" s="127"/>
      <c r="EF26" s="127"/>
      <c r="EG26" s="127"/>
      <c r="EH26" s="127"/>
      <c r="EI26" s="127"/>
      <c r="EJ26" s="127"/>
      <c r="EK26" s="127"/>
      <c r="EL26" s="127"/>
      <c r="EM26" s="127"/>
      <c r="EN26" s="127"/>
      <c r="EO26" s="127"/>
      <c r="EP26" s="127"/>
      <c r="EQ26" s="127"/>
      <c r="ER26" s="127"/>
      <c r="ES26" s="127"/>
      <c r="ET26" s="127"/>
      <c r="EU26" s="127"/>
      <c r="EV26" s="127"/>
      <c r="EW26" s="127"/>
      <c r="EX26" s="127"/>
      <c r="EY26" s="127"/>
      <c r="EZ26" s="127"/>
      <c r="FA26" s="127"/>
      <c r="FB26" s="127"/>
      <c r="FC26" s="127"/>
      <c r="FD26" s="127"/>
      <c r="FE26" s="127"/>
      <c r="FF26" s="127"/>
      <c r="FG26" s="127"/>
      <c r="FH26" s="127"/>
      <c r="FI26" s="127"/>
      <c r="FJ26" s="127"/>
      <c r="FK26" s="127"/>
      <c r="FL26" s="127"/>
      <c r="FM26" s="127"/>
      <c r="FN26" s="127"/>
      <c r="FO26" s="127"/>
      <c r="FP26" s="127"/>
      <c r="FQ26" s="127"/>
      <c r="FR26" s="127"/>
      <c r="FS26" s="127"/>
      <c r="FT26" s="127"/>
      <c r="FU26" s="127"/>
      <c r="FV26" s="127"/>
      <c r="FW26" s="127"/>
      <c r="FX26" s="127"/>
      <c r="FY26" s="127"/>
      <c r="FZ26" s="127"/>
      <c r="GA26" s="127"/>
      <c r="GB26" s="127"/>
      <c r="GC26" s="127"/>
      <c r="GD26" s="127"/>
      <c r="GE26" s="127"/>
      <c r="GF26" s="127"/>
      <c r="GG26" s="127"/>
      <c r="GH26" s="127"/>
      <c r="GI26" s="127"/>
      <c r="GJ26" s="127"/>
      <c r="GK26" s="127"/>
      <c r="GL26" s="127"/>
      <c r="GM26" s="127"/>
      <c r="GN26" s="127"/>
      <c r="GO26" s="127"/>
      <c r="GP26" s="127"/>
      <c r="GQ26" s="127"/>
      <c r="GR26" s="127"/>
      <c r="GS26" s="127"/>
      <c r="GT26" s="127"/>
      <c r="GU26" s="127"/>
      <c r="GV26" s="127"/>
      <c r="GW26" s="127"/>
      <c r="GX26" s="127"/>
      <c r="GY26" s="127"/>
      <c r="GZ26" s="127"/>
      <c r="HA26" s="127"/>
      <c r="HB26" s="127"/>
      <c r="HC26" s="127"/>
      <c r="HD26" s="127"/>
      <c r="HE26" s="127"/>
      <c r="HF26" s="127"/>
      <c r="HG26" s="127"/>
      <c r="HH26" s="127"/>
      <c r="HI26" s="127"/>
      <c r="HJ26" s="127"/>
      <c r="HK26" s="127"/>
      <c r="HL26" s="127"/>
      <c r="HM26" s="127"/>
      <c r="HN26" s="127"/>
      <c r="HO26" s="127"/>
      <c r="HP26" s="127"/>
      <c r="HQ26" s="127"/>
      <c r="HR26" s="127"/>
      <c r="HS26" s="127"/>
      <c r="HT26" s="127"/>
      <c r="HU26" s="127"/>
      <c r="HV26" s="127"/>
      <c r="HW26" s="127"/>
      <c r="HX26" s="127"/>
      <c r="HY26" s="127"/>
      <c r="HZ26" s="127"/>
      <c r="IA26" s="127"/>
      <c r="IB26" s="127"/>
      <c r="IC26" s="127"/>
      <c r="ID26" s="127"/>
      <c r="IE26" s="127"/>
      <c r="IF26" s="127"/>
      <c r="IG26" s="127"/>
      <c r="IH26" s="127"/>
      <c r="II26" s="127"/>
      <c r="IJ26" s="127"/>
      <c r="IK26" s="127"/>
      <c r="IL26" s="127"/>
      <c r="IM26" s="127"/>
      <c r="IN26" s="127"/>
      <c r="IO26" s="127"/>
      <c r="IP26" s="127"/>
      <c r="IQ26" s="127"/>
      <c r="IR26" s="127"/>
      <c r="IS26" s="127"/>
      <c r="IT26" s="127"/>
      <c r="IU26" s="127"/>
      <c r="IV26" s="127"/>
    </row>
    <row r="27" spans="1:256" s="95" customFormat="1" ht="14.4" thickBot="1">
      <c r="A27" s="50">
        <v>14</v>
      </c>
      <c r="B27" s="51" t="str">
        <f t="shared" ref="B27:B31" si="4">E$9</f>
        <v>30°C</v>
      </c>
      <c r="C27" s="51" t="str">
        <f>C$10</f>
        <v>10%</v>
      </c>
      <c r="D27" s="51" t="str">
        <f>D$11</f>
        <v>3 h.</v>
      </c>
      <c r="E27" s="52">
        <f t="shared" si="1"/>
        <v>850</v>
      </c>
      <c r="F27" s="57">
        <v>850</v>
      </c>
      <c r="G27" s="57"/>
      <c r="H27" s="57"/>
      <c r="I27" s="57"/>
      <c r="J27" s="57"/>
      <c r="K27" s="27"/>
      <c r="L27" s="127"/>
      <c r="M27" s="127" t="str">
        <f>C10</f>
        <v>10%</v>
      </c>
      <c r="N27" s="127" t="str">
        <f>B10</f>
        <v>Moût</v>
      </c>
      <c r="O27" s="127">
        <f>AVERAGE(RA1B1)</f>
        <v>165.5</v>
      </c>
      <c r="P27" s="127">
        <f>AVERAGE(RA2B1)</f>
        <v>411.25</v>
      </c>
      <c r="Q27" s="127">
        <f>AVERAGE(RA3B1)</f>
        <v>801.25</v>
      </c>
      <c r="R27" s="127">
        <f>AVERAGE(RA4B1)</f>
        <v>1191.25</v>
      </c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  <c r="BI27" s="127"/>
      <c r="BJ27" s="127"/>
      <c r="BK27" s="127"/>
      <c r="BL27" s="127"/>
      <c r="BM27" s="127"/>
      <c r="BN27" s="127"/>
      <c r="BO27" s="127"/>
      <c r="BP27" s="127"/>
      <c r="BQ27" s="127"/>
      <c r="BR27" s="127"/>
      <c r="BS27" s="127"/>
      <c r="BT27" s="127"/>
      <c r="BU27" s="127"/>
      <c r="BV27" s="127"/>
      <c r="BW27" s="127"/>
      <c r="BX27" s="127"/>
      <c r="BY27" s="127"/>
      <c r="BZ27" s="127"/>
      <c r="CA27" s="127"/>
      <c r="CB27" s="127"/>
      <c r="CC27" s="127"/>
      <c r="CD27" s="127"/>
      <c r="CE27" s="127"/>
      <c r="CF27" s="127"/>
      <c r="CG27" s="127"/>
      <c r="CH27" s="127"/>
      <c r="CI27" s="127"/>
      <c r="CJ27" s="127"/>
      <c r="CK27" s="127"/>
      <c r="CL27" s="127"/>
      <c r="CM27" s="127"/>
      <c r="CN27" s="127"/>
      <c r="CO27" s="127"/>
      <c r="CP27" s="127"/>
      <c r="CQ27" s="127"/>
      <c r="CR27" s="127"/>
      <c r="CS27" s="127"/>
      <c r="CT27" s="127"/>
      <c r="CU27" s="127"/>
      <c r="CV27" s="127"/>
      <c r="CW27" s="127"/>
      <c r="CX27" s="127"/>
      <c r="CY27" s="127"/>
      <c r="CZ27" s="127"/>
      <c r="DA27" s="127"/>
      <c r="DB27" s="127"/>
      <c r="DC27" s="127"/>
      <c r="DD27" s="127"/>
      <c r="DE27" s="127"/>
      <c r="DF27" s="127"/>
      <c r="DG27" s="127"/>
      <c r="DH27" s="127"/>
      <c r="DI27" s="127"/>
      <c r="DJ27" s="127"/>
      <c r="DK27" s="127"/>
      <c r="DL27" s="127"/>
      <c r="DM27" s="127"/>
      <c r="DN27" s="127"/>
      <c r="DO27" s="127"/>
      <c r="DP27" s="127"/>
      <c r="DQ27" s="127"/>
      <c r="DR27" s="127"/>
      <c r="DS27" s="127"/>
      <c r="DT27" s="127"/>
      <c r="DU27" s="127"/>
      <c r="DV27" s="127"/>
      <c r="DW27" s="127"/>
      <c r="DX27" s="127"/>
      <c r="DY27" s="127"/>
      <c r="DZ27" s="127"/>
      <c r="EA27" s="127"/>
      <c r="EB27" s="127"/>
      <c r="EC27" s="127"/>
      <c r="ED27" s="127"/>
      <c r="EE27" s="127"/>
      <c r="EF27" s="127"/>
      <c r="EG27" s="127"/>
      <c r="EH27" s="127"/>
      <c r="EI27" s="127"/>
      <c r="EJ27" s="127"/>
      <c r="EK27" s="127"/>
      <c r="EL27" s="127"/>
      <c r="EM27" s="127"/>
      <c r="EN27" s="127"/>
      <c r="EO27" s="127"/>
      <c r="EP27" s="127"/>
      <c r="EQ27" s="127"/>
      <c r="ER27" s="127"/>
      <c r="ES27" s="127"/>
      <c r="ET27" s="127"/>
      <c r="EU27" s="127"/>
      <c r="EV27" s="127"/>
      <c r="EW27" s="127"/>
      <c r="EX27" s="127"/>
      <c r="EY27" s="127"/>
      <c r="EZ27" s="127"/>
      <c r="FA27" s="127"/>
      <c r="FB27" s="127"/>
      <c r="FC27" s="127"/>
      <c r="FD27" s="127"/>
      <c r="FE27" s="127"/>
      <c r="FF27" s="127"/>
      <c r="FG27" s="127"/>
      <c r="FH27" s="127"/>
      <c r="FI27" s="127"/>
      <c r="FJ27" s="127"/>
      <c r="FK27" s="127"/>
      <c r="FL27" s="127"/>
      <c r="FM27" s="127"/>
      <c r="FN27" s="127"/>
      <c r="FO27" s="127"/>
      <c r="FP27" s="127"/>
      <c r="FQ27" s="127"/>
      <c r="FR27" s="127"/>
      <c r="FS27" s="127"/>
      <c r="FT27" s="127"/>
      <c r="FU27" s="127"/>
      <c r="FV27" s="127"/>
      <c r="FW27" s="127"/>
      <c r="FX27" s="127"/>
      <c r="FY27" s="127"/>
      <c r="FZ27" s="127"/>
      <c r="GA27" s="127"/>
      <c r="GB27" s="127"/>
      <c r="GC27" s="127"/>
      <c r="GD27" s="127"/>
      <c r="GE27" s="127"/>
      <c r="GF27" s="127"/>
      <c r="GG27" s="127"/>
      <c r="GH27" s="127"/>
      <c r="GI27" s="127"/>
      <c r="GJ27" s="127"/>
      <c r="GK27" s="127"/>
      <c r="GL27" s="127"/>
      <c r="GM27" s="127"/>
      <c r="GN27" s="127"/>
      <c r="GO27" s="127"/>
      <c r="GP27" s="127"/>
      <c r="GQ27" s="127"/>
      <c r="GR27" s="127"/>
      <c r="GS27" s="127"/>
      <c r="GT27" s="127"/>
      <c r="GU27" s="127"/>
      <c r="GV27" s="127"/>
      <c r="GW27" s="127"/>
      <c r="GX27" s="127"/>
      <c r="GY27" s="127"/>
      <c r="GZ27" s="127"/>
      <c r="HA27" s="127"/>
      <c r="HB27" s="127"/>
      <c r="HC27" s="127"/>
      <c r="HD27" s="127"/>
      <c r="HE27" s="127"/>
      <c r="HF27" s="127"/>
      <c r="HG27" s="127"/>
      <c r="HH27" s="127"/>
      <c r="HI27" s="127"/>
      <c r="HJ27" s="127"/>
      <c r="HK27" s="127"/>
      <c r="HL27" s="127"/>
      <c r="HM27" s="127"/>
      <c r="HN27" s="127"/>
      <c r="HO27" s="127"/>
      <c r="HP27" s="127"/>
      <c r="HQ27" s="127"/>
      <c r="HR27" s="127"/>
      <c r="HS27" s="127"/>
      <c r="HT27" s="127"/>
      <c r="HU27" s="127"/>
      <c r="HV27" s="127"/>
      <c r="HW27" s="127"/>
      <c r="HX27" s="127"/>
      <c r="HY27" s="127"/>
      <c r="HZ27" s="127"/>
      <c r="IA27" s="127"/>
      <c r="IB27" s="127"/>
      <c r="IC27" s="127"/>
      <c r="ID27" s="127"/>
      <c r="IE27" s="127"/>
      <c r="IF27" s="127"/>
      <c r="IG27" s="127"/>
      <c r="IH27" s="127"/>
      <c r="II27" s="127"/>
      <c r="IJ27" s="127"/>
      <c r="IK27" s="127"/>
      <c r="IL27" s="127"/>
      <c r="IM27" s="127"/>
      <c r="IN27" s="127"/>
      <c r="IO27" s="127"/>
      <c r="IP27" s="127"/>
      <c r="IQ27" s="127"/>
      <c r="IR27" s="127"/>
      <c r="IS27" s="127"/>
      <c r="IT27" s="127"/>
      <c r="IU27" s="127"/>
      <c r="IV27" s="127"/>
    </row>
    <row r="28" spans="1:256" ht="13.8">
      <c r="A28" s="50">
        <v>15</v>
      </c>
      <c r="B28" s="51" t="str">
        <f t="shared" si="4"/>
        <v>30°C</v>
      </c>
      <c r="C28" s="134">
        <v>0.3</v>
      </c>
      <c r="D28" s="51" t="str">
        <f>C$11</f>
        <v>1 h.</v>
      </c>
      <c r="E28" s="52">
        <f t="shared" si="1"/>
        <v>882.5</v>
      </c>
      <c r="F28" s="57">
        <v>882.5</v>
      </c>
      <c r="G28" s="57"/>
      <c r="H28" s="57"/>
      <c r="I28" s="57"/>
      <c r="J28" s="57"/>
      <c r="K28" s="27"/>
      <c r="L28" s="127"/>
      <c r="M28" s="127" t="str">
        <f>D10</f>
        <v>30%</v>
      </c>
      <c r="N28" s="127" t="str">
        <f>B10</f>
        <v>Moût</v>
      </c>
      <c r="O28" s="127">
        <f>AVERAGE(RA1B2)</f>
        <v>151.25</v>
      </c>
      <c r="P28" s="127">
        <f>AVERAGE(RA2B2)</f>
        <v>541.25</v>
      </c>
      <c r="Q28" s="127">
        <f>AVERAGE(RA3B2)</f>
        <v>931.25</v>
      </c>
      <c r="R28" s="127">
        <f>AVERAGE(RA4B2)</f>
        <v>856</v>
      </c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7"/>
      <c r="AX28" s="127"/>
      <c r="AY28" s="127"/>
      <c r="AZ28" s="127"/>
      <c r="BA28" s="127"/>
      <c r="BB28" s="127"/>
      <c r="BC28" s="127"/>
      <c r="BD28" s="127"/>
      <c r="BE28" s="127"/>
      <c r="BF28" s="127"/>
      <c r="BG28" s="127"/>
      <c r="BH28" s="127"/>
      <c r="BI28" s="127"/>
      <c r="BJ28" s="127"/>
      <c r="BK28" s="127"/>
      <c r="BL28" s="127"/>
      <c r="BM28" s="127"/>
      <c r="BN28" s="127"/>
      <c r="BO28" s="127"/>
      <c r="BP28" s="127"/>
      <c r="BQ28" s="127"/>
      <c r="BR28" s="127"/>
      <c r="BS28" s="127"/>
      <c r="BT28" s="127"/>
      <c r="BU28" s="127"/>
      <c r="BV28" s="127"/>
      <c r="BW28" s="127"/>
      <c r="BX28" s="127"/>
      <c r="BY28" s="127"/>
      <c r="BZ28" s="127"/>
      <c r="CA28" s="127"/>
      <c r="CB28" s="127"/>
      <c r="CC28" s="127"/>
      <c r="CD28" s="127"/>
      <c r="CE28" s="127"/>
      <c r="CF28" s="127"/>
      <c r="CG28" s="127"/>
      <c r="CH28" s="127"/>
      <c r="CI28" s="127"/>
      <c r="CJ28" s="127"/>
      <c r="CK28" s="127"/>
      <c r="CL28" s="127"/>
      <c r="CM28" s="127"/>
      <c r="CN28" s="127"/>
      <c r="CO28" s="127"/>
      <c r="CP28" s="127"/>
      <c r="CQ28" s="127"/>
      <c r="CR28" s="127"/>
      <c r="CS28" s="127"/>
      <c r="CT28" s="127"/>
      <c r="CU28" s="127"/>
      <c r="CV28" s="127"/>
      <c r="CW28" s="127"/>
      <c r="CX28" s="127"/>
      <c r="CY28" s="127"/>
      <c r="CZ28" s="127"/>
      <c r="DA28" s="127"/>
      <c r="DB28" s="127"/>
      <c r="DC28" s="127"/>
      <c r="DD28" s="127"/>
      <c r="DE28" s="127"/>
      <c r="DF28" s="127"/>
      <c r="DG28" s="127"/>
      <c r="DH28" s="127"/>
      <c r="DI28" s="127"/>
      <c r="DJ28" s="127"/>
      <c r="DK28" s="127"/>
      <c r="DL28" s="127"/>
      <c r="DM28" s="127"/>
      <c r="DN28" s="127"/>
      <c r="DO28" s="127"/>
      <c r="DP28" s="127"/>
      <c r="DQ28" s="127"/>
      <c r="DR28" s="127"/>
      <c r="DS28" s="127"/>
      <c r="DT28" s="127"/>
      <c r="DU28" s="127"/>
      <c r="DV28" s="127"/>
      <c r="DW28" s="127"/>
      <c r="DX28" s="127"/>
      <c r="DY28" s="127"/>
      <c r="DZ28" s="127"/>
      <c r="EA28" s="127"/>
      <c r="EB28" s="127"/>
      <c r="EC28" s="127"/>
      <c r="ED28" s="127"/>
      <c r="EE28" s="127"/>
      <c r="EF28" s="127"/>
      <c r="EG28" s="127"/>
      <c r="EH28" s="127"/>
      <c r="EI28" s="127"/>
      <c r="EJ28" s="127"/>
      <c r="EK28" s="127"/>
      <c r="EL28" s="127"/>
      <c r="EM28" s="127"/>
      <c r="EN28" s="127"/>
      <c r="EO28" s="127"/>
      <c r="EP28" s="127"/>
      <c r="EQ28" s="127"/>
      <c r="ER28" s="127"/>
      <c r="ES28" s="127"/>
      <c r="ET28" s="127"/>
      <c r="EU28" s="127"/>
      <c r="EV28" s="127"/>
      <c r="EW28" s="127"/>
      <c r="EX28" s="127"/>
      <c r="EY28" s="127"/>
      <c r="EZ28" s="127"/>
      <c r="FA28" s="127"/>
      <c r="FB28" s="127"/>
      <c r="FC28" s="127"/>
      <c r="FD28" s="127"/>
      <c r="FE28" s="127"/>
      <c r="FF28" s="127"/>
      <c r="FG28" s="127"/>
      <c r="FH28" s="127"/>
      <c r="FI28" s="127"/>
      <c r="FJ28" s="127"/>
      <c r="FK28" s="127"/>
      <c r="FL28" s="127"/>
      <c r="FM28" s="127"/>
      <c r="FN28" s="127"/>
      <c r="FO28" s="127"/>
      <c r="FP28" s="127"/>
      <c r="FQ28" s="127"/>
      <c r="FR28" s="127"/>
      <c r="FS28" s="127"/>
      <c r="FT28" s="127"/>
      <c r="FU28" s="127"/>
      <c r="FV28" s="127"/>
      <c r="FW28" s="127"/>
      <c r="FX28" s="127"/>
      <c r="FY28" s="127"/>
      <c r="FZ28" s="127"/>
      <c r="GA28" s="127"/>
      <c r="GB28" s="127"/>
      <c r="GC28" s="127"/>
      <c r="GD28" s="127"/>
      <c r="GE28" s="127"/>
      <c r="GF28" s="127"/>
      <c r="GG28" s="127"/>
      <c r="GH28" s="127"/>
      <c r="GI28" s="127"/>
      <c r="GJ28" s="127"/>
      <c r="GK28" s="127"/>
      <c r="GL28" s="127"/>
      <c r="GM28" s="127"/>
      <c r="GN28" s="127"/>
      <c r="GO28" s="127"/>
      <c r="GP28" s="127"/>
      <c r="GQ28" s="127"/>
      <c r="GR28" s="127"/>
      <c r="GS28" s="127"/>
      <c r="GT28" s="127"/>
      <c r="GU28" s="127"/>
      <c r="GV28" s="127"/>
      <c r="GW28" s="127"/>
      <c r="GX28" s="127"/>
      <c r="GY28" s="127"/>
      <c r="GZ28" s="127"/>
      <c r="HA28" s="127"/>
      <c r="HB28" s="127"/>
      <c r="HC28" s="127"/>
      <c r="HD28" s="127"/>
      <c r="HE28" s="127"/>
      <c r="HF28" s="127"/>
      <c r="HG28" s="127"/>
      <c r="HH28" s="127"/>
      <c r="HI28" s="127"/>
      <c r="HJ28" s="127"/>
      <c r="HK28" s="127"/>
      <c r="HL28" s="127"/>
      <c r="HM28" s="127"/>
      <c r="HN28" s="127"/>
      <c r="HO28" s="127"/>
      <c r="HP28" s="127"/>
      <c r="HQ28" s="127"/>
      <c r="HR28" s="127"/>
      <c r="HS28" s="127"/>
      <c r="HT28" s="127"/>
      <c r="HU28" s="127"/>
      <c r="HV28" s="127"/>
      <c r="HW28" s="127"/>
      <c r="HX28" s="127"/>
      <c r="HY28" s="127"/>
      <c r="HZ28" s="127"/>
      <c r="IA28" s="127"/>
      <c r="IB28" s="127"/>
      <c r="IC28" s="127"/>
      <c r="ID28" s="127"/>
      <c r="IE28" s="127"/>
      <c r="IF28" s="127"/>
      <c r="IG28" s="127"/>
      <c r="IH28" s="127"/>
      <c r="II28" s="127"/>
      <c r="IJ28" s="127"/>
      <c r="IK28" s="127"/>
      <c r="IL28" s="127"/>
      <c r="IM28" s="127"/>
      <c r="IN28" s="127"/>
      <c r="IO28" s="127"/>
      <c r="IP28" s="127"/>
      <c r="IQ28" s="127"/>
      <c r="IR28" s="127"/>
      <c r="IS28" s="127"/>
      <c r="IT28" s="127"/>
      <c r="IU28" s="127"/>
      <c r="IV28" s="127"/>
    </row>
    <row r="29" spans="1:256" s="95" customFormat="1" ht="14.4" thickBot="1">
      <c r="A29" s="50">
        <v>16</v>
      </c>
      <c r="B29" s="51" t="str">
        <f t="shared" si="4"/>
        <v>30°C</v>
      </c>
      <c r="C29" s="134">
        <v>0.3</v>
      </c>
      <c r="D29" s="51" t="str">
        <f>D$11</f>
        <v>3 h.</v>
      </c>
      <c r="E29" s="52">
        <f t="shared" si="1"/>
        <v>980</v>
      </c>
      <c r="F29" s="57">
        <v>980</v>
      </c>
      <c r="G29" s="57"/>
      <c r="H29" s="57"/>
      <c r="I29" s="57"/>
      <c r="J29" s="57"/>
      <c r="K29" s="27"/>
      <c r="L29" s="127"/>
      <c r="M29" s="127" t="str">
        <f>E10</f>
        <v>50%</v>
      </c>
      <c r="N29" s="127" t="str">
        <f>B10</f>
        <v>Moût</v>
      </c>
      <c r="O29" s="127">
        <f>AVERAGE(RA1B3)</f>
        <v>281.25</v>
      </c>
      <c r="P29" s="127">
        <f>AVERAGE(RA2B3)</f>
        <v>671.25</v>
      </c>
      <c r="Q29" s="127">
        <f>AVERAGE(RA3B3)</f>
        <v>1061.25</v>
      </c>
      <c r="R29" s="127">
        <f>AVERAGE(RA4B3)</f>
        <v>1451.25</v>
      </c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  <c r="AY29" s="127"/>
      <c r="AZ29" s="127"/>
      <c r="BA29" s="127"/>
      <c r="BB29" s="127"/>
      <c r="BC29" s="127"/>
      <c r="BD29" s="127"/>
      <c r="BE29" s="127"/>
      <c r="BF29" s="127"/>
      <c r="BG29" s="127"/>
      <c r="BH29" s="127"/>
      <c r="BI29" s="127"/>
      <c r="BJ29" s="127"/>
      <c r="BK29" s="127"/>
      <c r="BL29" s="127"/>
      <c r="BM29" s="127"/>
      <c r="BN29" s="127"/>
      <c r="BO29" s="127"/>
      <c r="BP29" s="127"/>
      <c r="BQ29" s="127"/>
      <c r="BR29" s="127"/>
      <c r="BS29" s="127"/>
      <c r="BT29" s="127"/>
      <c r="BU29" s="127"/>
      <c r="BV29" s="127"/>
      <c r="BW29" s="127"/>
      <c r="BX29" s="127"/>
      <c r="BY29" s="127"/>
      <c r="BZ29" s="127"/>
      <c r="CA29" s="127"/>
      <c r="CB29" s="127"/>
      <c r="CC29" s="127"/>
      <c r="CD29" s="127"/>
      <c r="CE29" s="127"/>
      <c r="CF29" s="127"/>
      <c r="CG29" s="127"/>
      <c r="CH29" s="127"/>
      <c r="CI29" s="127"/>
      <c r="CJ29" s="127"/>
      <c r="CK29" s="127"/>
      <c r="CL29" s="127"/>
      <c r="CM29" s="127"/>
      <c r="CN29" s="127"/>
      <c r="CO29" s="127"/>
      <c r="CP29" s="127"/>
      <c r="CQ29" s="127"/>
      <c r="CR29" s="127"/>
      <c r="CS29" s="127"/>
      <c r="CT29" s="127"/>
      <c r="CU29" s="127"/>
      <c r="CV29" s="127"/>
      <c r="CW29" s="127"/>
      <c r="CX29" s="127"/>
      <c r="CY29" s="127"/>
      <c r="CZ29" s="127"/>
      <c r="DA29" s="127"/>
      <c r="DB29" s="127"/>
      <c r="DC29" s="127"/>
      <c r="DD29" s="127"/>
      <c r="DE29" s="127"/>
      <c r="DF29" s="127"/>
      <c r="DG29" s="127"/>
      <c r="DH29" s="127"/>
      <c r="DI29" s="127"/>
      <c r="DJ29" s="127"/>
      <c r="DK29" s="127"/>
      <c r="DL29" s="127"/>
      <c r="DM29" s="127"/>
      <c r="DN29" s="127"/>
      <c r="DO29" s="127"/>
      <c r="DP29" s="127"/>
      <c r="DQ29" s="127"/>
      <c r="DR29" s="127"/>
      <c r="DS29" s="127"/>
      <c r="DT29" s="127"/>
      <c r="DU29" s="127"/>
      <c r="DV29" s="127"/>
      <c r="DW29" s="127"/>
      <c r="DX29" s="127"/>
      <c r="DY29" s="127"/>
      <c r="DZ29" s="127"/>
      <c r="EA29" s="127"/>
      <c r="EB29" s="127"/>
      <c r="EC29" s="127"/>
      <c r="ED29" s="127"/>
      <c r="EE29" s="127"/>
      <c r="EF29" s="127"/>
      <c r="EG29" s="127"/>
      <c r="EH29" s="127"/>
      <c r="EI29" s="127"/>
      <c r="EJ29" s="127"/>
      <c r="EK29" s="127"/>
      <c r="EL29" s="127"/>
      <c r="EM29" s="127"/>
      <c r="EN29" s="127"/>
      <c r="EO29" s="127"/>
      <c r="EP29" s="127"/>
      <c r="EQ29" s="127"/>
      <c r="ER29" s="127"/>
      <c r="ES29" s="127"/>
      <c r="ET29" s="127"/>
      <c r="EU29" s="127"/>
      <c r="EV29" s="127"/>
      <c r="EW29" s="127"/>
      <c r="EX29" s="127"/>
      <c r="EY29" s="127"/>
      <c r="EZ29" s="127"/>
      <c r="FA29" s="127"/>
      <c r="FB29" s="127"/>
      <c r="FC29" s="127"/>
      <c r="FD29" s="127"/>
      <c r="FE29" s="127"/>
      <c r="FF29" s="127"/>
      <c r="FG29" s="127"/>
      <c r="FH29" s="127"/>
      <c r="FI29" s="127"/>
      <c r="FJ29" s="127"/>
      <c r="FK29" s="127"/>
      <c r="FL29" s="127"/>
      <c r="FM29" s="127"/>
      <c r="FN29" s="127"/>
      <c r="FO29" s="127"/>
      <c r="FP29" s="127"/>
      <c r="FQ29" s="127"/>
      <c r="FR29" s="127"/>
      <c r="FS29" s="127"/>
      <c r="FT29" s="127"/>
      <c r="FU29" s="127"/>
      <c r="FV29" s="127"/>
      <c r="FW29" s="127"/>
      <c r="FX29" s="127"/>
      <c r="FY29" s="127"/>
      <c r="FZ29" s="127"/>
      <c r="GA29" s="127"/>
      <c r="GB29" s="127"/>
      <c r="GC29" s="127"/>
      <c r="GD29" s="127"/>
      <c r="GE29" s="127"/>
      <c r="GF29" s="127"/>
      <c r="GG29" s="127"/>
      <c r="GH29" s="127"/>
      <c r="GI29" s="127"/>
      <c r="GJ29" s="127"/>
      <c r="GK29" s="127"/>
      <c r="GL29" s="127"/>
      <c r="GM29" s="127"/>
      <c r="GN29" s="127"/>
      <c r="GO29" s="127"/>
      <c r="GP29" s="127"/>
      <c r="GQ29" s="127"/>
      <c r="GR29" s="127"/>
      <c r="GS29" s="127"/>
      <c r="GT29" s="127"/>
      <c r="GU29" s="127"/>
      <c r="GV29" s="127"/>
      <c r="GW29" s="127"/>
      <c r="GX29" s="127"/>
      <c r="GY29" s="127"/>
      <c r="GZ29" s="127"/>
      <c r="HA29" s="127"/>
      <c r="HB29" s="127"/>
      <c r="HC29" s="127"/>
      <c r="HD29" s="127"/>
      <c r="HE29" s="127"/>
      <c r="HF29" s="127"/>
      <c r="HG29" s="127"/>
      <c r="HH29" s="127"/>
      <c r="HI29" s="127"/>
      <c r="HJ29" s="127"/>
      <c r="HK29" s="127"/>
      <c r="HL29" s="127"/>
      <c r="HM29" s="127"/>
      <c r="HN29" s="127"/>
      <c r="HO29" s="127"/>
      <c r="HP29" s="127"/>
      <c r="HQ29" s="127"/>
      <c r="HR29" s="127"/>
      <c r="HS29" s="127"/>
      <c r="HT29" s="127"/>
      <c r="HU29" s="127"/>
      <c r="HV29" s="127"/>
      <c r="HW29" s="127"/>
      <c r="HX29" s="127"/>
      <c r="HY29" s="127"/>
      <c r="HZ29" s="127"/>
      <c r="IA29" s="127"/>
      <c r="IB29" s="127"/>
      <c r="IC29" s="127"/>
      <c r="ID29" s="127"/>
      <c r="IE29" s="127"/>
      <c r="IF29" s="127"/>
      <c r="IG29" s="127"/>
      <c r="IH29" s="127"/>
      <c r="II29" s="127"/>
      <c r="IJ29" s="127"/>
      <c r="IK29" s="127"/>
      <c r="IL29" s="127"/>
      <c r="IM29" s="127"/>
      <c r="IN29" s="127"/>
      <c r="IO29" s="127"/>
      <c r="IP29" s="127"/>
      <c r="IQ29" s="127"/>
      <c r="IR29" s="127"/>
      <c r="IS29" s="127"/>
      <c r="IT29" s="127"/>
      <c r="IU29" s="127"/>
      <c r="IV29" s="127"/>
    </row>
    <row r="30" spans="1:256" ht="13.8">
      <c r="A30" s="50">
        <v>17</v>
      </c>
      <c r="B30" s="51" t="str">
        <f t="shared" si="4"/>
        <v>30°C</v>
      </c>
      <c r="C30" s="51" t="str">
        <f>E$10</f>
        <v>50%</v>
      </c>
      <c r="D30" s="51" t="str">
        <f>C$11</f>
        <v>1 h.</v>
      </c>
      <c r="E30" s="52">
        <f t="shared" si="1"/>
        <v>1012.5</v>
      </c>
      <c r="F30" s="57">
        <v>1012.5</v>
      </c>
      <c r="G30" s="57"/>
      <c r="H30" s="57"/>
      <c r="I30" s="57"/>
      <c r="J30" s="57"/>
      <c r="K30" s="27"/>
      <c r="L30" s="127"/>
      <c r="M30" s="127" t="s">
        <v>50</v>
      </c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27"/>
      <c r="BB30" s="127"/>
      <c r="BC30" s="127"/>
      <c r="BD30" s="127"/>
      <c r="BE30" s="127"/>
      <c r="BF30" s="127"/>
      <c r="BG30" s="127"/>
      <c r="BH30" s="127"/>
      <c r="BI30" s="127"/>
      <c r="BJ30" s="127"/>
      <c r="BK30" s="127"/>
      <c r="BL30" s="127"/>
      <c r="BM30" s="127"/>
      <c r="BN30" s="127"/>
      <c r="BO30" s="127"/>
      <c r="BP30" s="127"/>
      <c r="BQ30" s="127"/>
      <c r="BR30" s="127"/>
      <c r="BS30" s="127"/>
      <c r="BT30" s="127"/>
      <c r="BU30" s="127"/>
      <c r="BV30" s="127"/>
      <c r="BW30" s="127"/>
      <c r="BX30" s="127"/>
      <c r="BY30" s="127"/>
      <c r="BZ30" s="127"/>
      <c r="CA30" s="127"/>
      <c r="CB30" s="127"/>
      <c r="CC30" s="127"/>
      <c r="CD30" s="127"/>
      <c r="CE30" s="127"/>
      <c r="CF30" s="127"/>
      <c r="CG30" s="127"/>
      <c r="CH30" s="127"/>
      <c r="CI30" s="127"/>
      <c r="CJ30" s="127"/>
      <c r="CK30" s="127"/>
      <c r="CL30" s="127"/>
      <c r="CM30" s="127"/>
      <c r="CN30" s="127"/>
      <c r="CO30" s="127"/>
      <c r="CP30" s="127"/>
      <c r="CQ30" s="127"/>
      <c r="CR30" s="127"/>
      <c r="CS30" s="127"/>
      <c r="CT30" s="127"/>
      <c r="CU30" s="127"/>
      <c r="CV30" s="127"/>
      <c r="CW30" s="127"/>
      <c r="CX30" s="127"/>
      <c r="CY30" s="127"/>
      <c r="CZ30" s="127"/>
      <c r="DA30" s="127"/>
      <c r="DB30" s="127"/>
      <c r="DC30" s="127"/>
      <c r="DD30" s="127"/>
      <c r="DE30" s="127"/>
      <c r="DF30" s="127"/>
      <c r="DG30" s="127"/>
      <c r="DH30" s="127"/>
      <c r="DI30" s="127"/>
      <c r="DJ30" s="127"/>
      <c r="DK30" s="127"/>
      <c r="DL30" s="127"/>
      <c r="DM30" s="127"/>
      <c r="DN30" s="127"/>
      <c r="DO30" s="127"/>
      <c r="DP30" s="127"/>
      <c r="DQ30" s="127"/>
      <c r="DR30" s="127"/>
      <c r="DS30" s="127"/>
      <c r="DT30" s="127"/>
      <c r="DU30" s="127"/>
      <c r="DV30" s="127"/>
      <c r="DW30" s="127"/>
      <c r="DX30" s="127"/>
      <c r="DY30" s="127"/>
      <c r="DZ30" s="127"/>
      <c r="EA30" s="127"/>
      <c r="EB30" s="127"/>
      <c r="EC30" s="127"/>
      <c r="ED30" s="127"/>
      <c r="EE30" s="127"/>
      <c r="EF30" s="127"/>
      <c r="EG30" s="127"/>
      <c r="EH30" s="127"/>
      <c r="EI30" s="127"/>
      <c r="EJ30" s="127"/>
      <c r="EK30" s="127"/>
      <c r="EL30" s="127"/>
      <c r="EM30" s="127"/>
      <c r="EN30" s="127"/>
      <c r="EO30" s="127"/>
      <c r="EP30" s="127"/>
      <c r="EQ30" s="127"/>
      <c r="ER30" s="127"/>
      <c r="ES30" s="127"/>
      <c r="ET30" s="127"/>
      <c r="EU30" s="127"/>
      <c r="EV30" s="127"/>
      <c r="EW30" s="127"/>
      <c r="EX30" s="127"/>
      <c r="EY30" s="127"/>
      <c r="EZ30" s="127"/>
      <c r="FA30" s="127"/>
      <c r="FB30" s="127"/>
      <c r="FC30" s="127"/>
      <c r="FD30" s="127"/>
      <c r="FE30" s="127"/>
      <c r="FF30" s="127"/>
      <c r="FG30" s="127"/>
      <c r="FH30" s="127"/>
      <c r="FI30" s="127"/>
      <c r="FJ30" s="127"/>
      <c r="FK30" s="127"/>
      <c r="FL30" s="127"/>
      <c r="FM30" s="127"/>
      <c r="FN30" s="127"/>
      <c r="FO30" s="127"/>
      <c r="FP30" s="127"/>
      <c r="FQ30" s="127"/>
      <c r="FR30" s="127"/>
      <c r="FS30" s="127"/>
      <c r="FT30" s="127"/>
      <c r="FU30" s="127"/>
      <c r="FV30" s="127"/>
      <c r="FW30" s="127"/>
      <c r="FX30" s="127"/>
      <c r="FY30" s="127"/>
      <c r="FZ30" s="127"/>
      <c r="GA30" s="127"/>
      <c r="GB30" s="127"/>
      <c r="GC30" s="127"/>
      <c r="GD30" s="127"/>
      <c r="GE30" s="127"/>
      <c r="GF30" s="127"/>
      <c r="GG30" s="127"/>
      <c r="GH30" s="127"/>
      <c r="GI30" s="127"/>
      <c r="GJ30" s="127"/>
      <c r="GK30" s="127"/>
      <c r="GL30" s="127"/>
      <c r="GM30" s="127"/>
      <c r="GN30" s="127"/>
      <c r="GO30" s="127"/>
      <c r="GP30" s="127"/>
      <c r="GQ30" s="127"/>
      <c r="GR30" s="127"/>
      <c r="GS30" s="127"/>
      <c r="GT30" s="127"/>
      <c r="GU30" s="127"/>
      <c r="GV30" s="127"/>
      <c r="GW30" s="127"/>
      <c r="GX30" s="127"/>
      <c r="GY30" s="127"/>
      <c r="GZ30" s="127"/>
      <c r="HA30" s="127"/>
      <c r="HB30" s="127"/>
      <c r="HC30" s="127"/>
      <c r="HD30" s="127"/>
      <c r="HE30" s="127"/>
      <c r="HF30" s="127"/>
      <c r="HG30" s="127"/>
      <c r="HH30" s="127"/>
      <c r="HI30" s="127"/>
      <c r="HJ30" s="127"/>
      <c r="HK30" s="127"/>
      <c r="HL30" s="127"/>
      <c r="HM30" s="127"/>
      <c r="HN30" s="127"/>
      <c r="HO30" s="127"/>
      <c r="HP30" s="127"/>
      <c r="HQ30" s="127"/>
      <c r="HR30" s="127"/>
      <c r="HS30" s="127"/>
      <c r="HT30" s="127"/>
      <c r="HU30" s="127"/>
      <c r="HV30" s="127"/>
      <c r="HW30" s="127"/>
      <c r="HX30" s="127"/>
      <c r="HY30" s="127"/>
      <c r="HZ30" s="127"/>
      <c r="IA30" s="127"/>
      <c r="IB30" s="127"/>
      <c r="IC30" s="127"/>
      <c r="ID30" s="127"/>
      <c r="IE30" s="127"/>
      <c r="IF30" s="127"/>
      <c r="IG30" s="127"/>
      <c r="IH30" s="127"/>
      <c r="II30" s="127"/>
      <c r="IJ30" s="127"/>
      <c r="IK30" s="127"/>
      <c r="IL30" s="127"/>
      <c r="IM30" s="127"/>
      <c r="IN30" s="127"/>
      <c r="IO30" s="127"/>
      <c r="IP30" s="127"/>
      <c r="IQ30" s="127"/>
      <c r="IR30" s="127"/>
      <c r="IS30" s="127"/>
      <c r="IT30" s="127"/>
      <c r="IU30" s="127"/>
      <c r="IV30" s="127"/>
    </row>
    <row r="31" spans="1:256" s="95" customFormat="1" ht="14.4" thickBot="1">
      <c r="A31" s="50">
        <v>18</v>
      </c>
      <c r="B31" s="51" t="str">
        <f t="shared" si="4"/>
        <v>30°C</v>
      </c>
      <c r="C31" s="51" t="str">
        <f>E$10</f>
        <v>50%</v>
      </c>
      <c r="D31" s="51" t="str">
        <f>D$11</f>
        <v>3 h.</v>
      </c>
      <c r="E31" s="52">
        <f t="shared" si="1"/>
        <v>1110</v>
      </c>
      <c r="F31" s="57">
        <v>1110</v>
      </c>
      <c r="G31" s="57"/>
      <c r="H31" s="57"/>
      <c r="I31" s="57"/>
      <c r="J31" s="57"/>
      <c r="K31" s="27"/>
      <c r="L31" s="127"/>
      <c r="M31" s="127" t="str">
        <f>C11</f>
        <v>1 h.</v>
      </c>
      <c r="N31" s="127" t="str">
        <f>B11</f>
        <v>Durée</v>
      </c>
      <c r="O31" s="127">
        <f>AVERAGE(RA1C1)</f>
        <v>162</v>
      </c>
      <c r="P31" s="127">
        <f>AVERAGE(RA2C1)</f>
        <v>492.5</v>
      </c>
      <c r="Q31" s="127">
        <f>AVERAGE(RA3C1)</f>
        <v>882.5</v>
      </c>
      <c r="R31" s="127">
        <f>AVERAGE(RA4C1)</f>
        <v>962.33333333333337</v>
      </c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7"/>
      <c r="AS31" s="127"/>
      <c r="AT31" s="127"/>
      <c r="AU31" s="127"/>
      <c r="AV31" s="127"/>
      <c r="AW31" s="127"/>
      <c r="AX31" s="127"/>
      <c r="AY31" s="127"/>
      <c r="AZ31" s="127"/>
      <c r="BA31" s="127"/>
      <c r="BB31" s="127"/>
      <c r="BC31" s="127"/>
      <c r="BD31" s="127"/>
      <c r="BE31" s="127"/>
      <c r="BF31" s="127"/>
      <c r="BG31" s="127"/>
      <c r="BH31" s="127"/>
      <c r="BI31" s="127"/>
      <c r="BJ31" s="127"/>
      <c r="BK31" s="127"/>
      <c r="BL31" s="127"/>
      <c r="BM31" s="127"/>
      <c r="BN31" s="127"/>
      <c r="BO31" s="127"/>
      <c r="BP31" s="127"/>
      <c r="BQ31" s="127"/>
      <c r="BR31" s="127"/>
      <c r="BS31" s="127"/>
      <c r="BT31" s="127"/>
      <c r="BU31" s="127"/>
      <c r="BV31" s="127"/>
      <c r="BW31" s="127"/>
      <c r="BX31" s="127"/>
      <c r="BY31" s="127"/>
      <c r="BZ31" s="127"/>
      <c r="CA31" s="127"/>
      <c r="CB31" s="127"/>
      <c r="CC31" s="127"/>
      <c r="CD31" s="127"/>
      <c r="CE31" s="127"/>
      <c r="CF31" s="127"/>
      <c r="CG31" s="127"/>
      <c r="CH31" s="127"/>
      <c r="CI31" s="127"/>
      <c r="CJ31" s="127"/>
      <c r="CK31" s="127"/>
      <c r="CL31" s="127"/>
      <c r="CM31" s="127"/>
      <c r="CN31" s="127"/>
      <c r="CO31" s="127"/>
      <c r="CP31" s="127"/>
      <c r="CQ31" s="127"/>
      <c r="CR31" s="127"/>
      <c r="CS31" s="127"/>
      <c r="CT31" s="127"/>
      <c r="CU31" s="127"/>
      <c r="CV31" s="127"/>
      <c r="CW31" s="127"/>
      <c r="CX31" s="127"/>
      <c r="CY31" s="127"/>
      <c r="CZ31" s="127"/>
      <c r="DA31" s="127"/>
      <c r="DB31" s="127"/>
      <c r="DC31" s="127"/>
      <c r="DD31" s="127"/>
      <c r="DE31" s="127"/>
      <c r="DF31" s="127"/>
      <c r="DG31" s="127"/>
      <c r="DH31" s="127"/>
      <c r="DI31" s="127"/>
      <c r="DJ31" s="127"/>
      <c r="DK31" s="127"/>
      <c r="DL31" s="127"/>
      <c r="DM31" s="127"/>
      <c r="DN31" s="127"/>
      <c r="DO31" s="127"/>
      <c r="DP31" s="127"/>
      <c r="DQ31" s="127"/>
      <c r="DR31" s="127"/>
      <c r="DS31" s="127"/>
      <c r="DT31" s="127"/>
      <c r="DU31" s="127"/>
      <c r="DV31" s="127"/>
      <c r="DW31" s="127"/>
      <c r="DX31" s="127"/>
      <c r="DY31" s="127"/>
      <c r="DZ31" s="127"/>
      <c r="EA31" s="127"/>
      <c r="EB31" s="127"/>
      <c r="EC31" s="127"/>
      <c r="ED31" s="127"/>
      <c r="EE31" s="127"/>
      <c r="EF31" s="127"/>
      <c r="EG31" s="127"/>
      <c r="EH31" s="127"/>
      <c r="EI31" s="127"/>
      <c r="EJ31" s="127"/>
      <c r="EK31" s="127"/>
      <c r="EL31" s="127"/>
      <c r="EM31" s="127"/>
      <c r="EN31" s="127"/>
      <c r="EO31" s="127"/>
      <c r="EP31" s="127"/>
      <c r="EQ31" s="127"/>
      <c r="ER31" s="127"/>
      <c r="ES31" s="127"/>
      <c r="ET31" s="127"/>
      <c r="EU31" s="127"/>
      <c r="EV31" s="127"/>
      <c r="EW31" s="127"/>
      <c r="EX31" s="127"/>
      <c r="EY31" s="127"/>
      <c r="EZ31" s="127"/>
      <c r="FA31" s="127"/>
      <c r="FB31" s="127"/>
      <c r="FC31" s="127"/>
      <c r="FD31" s="127"/>
      <c r="FE31" s="127"/>
      <c r="FF31" s="127"/>
      <c r="FG31" s="127"/>
      <c r="FH31" s="127"/>
      <c r="FI31" s="127"/>
      <c r="FJ31" s="127"/>
      <c r="FK31" s="127"/>
      <c r="FL31" s="127"/>
      <c r="FM31" s="127"/>
      <c r="FN31" s="127"/>
      <c r="FO31" s="127"/>
      <c r="FP31" s="127"/>
      <c r="FQ31" s="127"/>
      <c r="FR31" s="127"/>
      <c r="FS31" s="127"/>
      <c r="FT31" s="127"/>
      <c r="FU31" s="127"/>
      <c r="FV31" s="127"/>
      <c r="FW31" s="127"/>
      <c r="FX31" s="127"/>
      <c r="FY31" s="127"/>
      <c r="FZ31" s="127"/>
      <c r="GA31" s="127"/>
      <c r="GB31" s="127"/>
      <c r="GC31" s="127"/>
      <c r="GD31" s="127"/>
      <c r="GE31" s="127"/>
      <c r="GF31" s="127"/>
      <c r="GG31" s="127"/>
      <c r="GH31" s="127"/>
      <c r="GI31" s="127"/>
      <c r="GJ31" s="127"/>
      <c r="GK31" s="127"/>
      <c r="GL31" s="127"/>
      <c r="GM31" s="127"/>
      <c r="GN31" s="127"/>
      <c r="GO31" s="127"/>
      <c r="GP31" s="127"/>
      <c r="GQ31" s="127"/>
      <c r="GR31" s="127"/>
      <c r="GS31" s="127"/>
      <c r="GT31" s="127"/>
      <c r="GU31" s="127"/>
      <c r="GV31" s="127"/>
      <c r="GW31" s="127"/>
      <c r="GX31" s="127"/>
      <c r="GY31" s="127"/>
      <c r="GZ31" s="127"/>
      <c r="HA31" s="127"/>
      <c r="HB31" s="127"/>
      <c r="HC31" s="127"/>
      <c r="HD31" s="127"/>
      <c r="HE31" s="127"/>
      <c r="HF31" s="127"/>
      <c r="HG31" s="127"/>
      <c r="HH31" s="127"/>
      <c r="HI31" s="127"/>
      <c r="HJ31" s="127"/>
      <c r="HK31" s="127"/>
      <c r="HL31" s="127"/>
      <c r="HM31" s="127"/>
      <c r="HN31" s="127"/>
      <c r="HO31" s="127"/>
      <c r="HP31" s="127"/>
      <c r="HQ31" s="127"/>
      <c r="HR31" s="127"/>
      <c r="HS31" s="127"/>
      <c r="HT31" s="127"/>
      <c r="HU31" s="127"/>
      <c r="HV31" s="127"/>
      <c r="HW31" s="127"/>
      <c r="HX31" s="127"/>
      <c r="HY31" s="127"/>
      <c r="HZ31" s="127"/>
      <c r="IA31" s="127"/>
      <c r="IB31" s="127"/>
      <c r="IC31" s="127"/>
      <c r="ID31" s="127"/>
      <c r="IE31" s="127"/>
      <c r="IF31" s="127"/>
      <c r="IG31" s="127"/>
      <c r="IH31" s="127"/>
      <c r="II31" s="127"/>
      <c r="IJ31" s="127"/>
      <c r="IK31" s="127"/>
      <c r="IL31" s="127"/>
      <c r="IM31" s="127"/>
      <c r="IN31" s="127"/>
      <c r="IO31" s="127"/>
      <c r="IP31" s="127"/>
      <c r="IQ31" s="127"/>
      <c r="IR31" s="127"/>
      <c r="IS31" s="127"/>
      <c r="IT31" s="127"/>
      <c r="IU31" s="127"/>
      <c r="IV31" s="127"/>
    </row>
    <row r="32" spans="1:256" ht="13.8">
      <c r="A32" s="50">
        <v>19</v>
      </c>
      <c r="B32" s="51" t="str">
        <f>F$9</f>
        <v>40°C</v>
      </c>
      <c r="C32" s="51" t="str">
        <f>C$10</f>
        <v>10%</v>
      </c>
      <c r="D32" s="51" t="str">
        <f>C$11</f>
        <v>1 h.</v>
      </c>
      <c r="E32" s="52">
        <f t="shared" si="1"/>
        <v>1142.5</v>
      </c>
      <c r="F32" s="57">
        <v>1142.5</v>
      </c>
      <c r="G32" s="57"/>
      <c r="H32" s="57"/>
      <c r="I32" s="57"/>
      <c r="J32" s="57"/>
      <c r="K32" s="27"/>
      <c r="L32" s="127"/>
      <c r="M32" s="127" t="str">
        <f>D11</f>
        <v>3 h.</v>
      </c>
      <c r="N32" s="127" t="str">
        <f>B11</f>
        <v>Durée</v>
      </c>
      <c r="O32" s="127">
        <f>AVERAGE(RA1C2)</f>
        <v>236.66666666666666</v>
      </c>
      <c r="P32" s="127">
        <f>AVERAGE(RA2C2)</f>
        <v>590</v>
      </c>
      <c r="Q32" s="127">
        <f>AVERAGE(RA3C2)</f>
        <v>980</v>
      </c>
      <c r="R32" s="127">
        <f>AVERAGE(RA4C2)</f>
        <v>1370</v>
      </c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7"/>
      <c r="BN32" s="127"/>
      <c r="BO32" s="127"/>
      <c r="BP32" s="127"/>
      <c r="BQ32" s="127"/>
      <c r="BR32" s="127"/>
      <c r="BS32" s="127"/>
      <c r="BT32" s="127"/>
      <c r="BU32" s="127"/>
      <c r="BV32" s="127"/>
      <c r="BW32" s="127"/>
      <c r="BX32" s="127"/>
      <c r="BY32" s="127"/>
      <c r="BZ32" s="127"/>
      <c r="CA32" s="127"/>
      <c r="CB32" s="127"/>
      <c r="CC32" s="127"/>
      <c r="CD32" s="127"/>
      <c r="CE32" s="127"/>
      <c r="CF32" s="127"/>
      <c r="CG32" s="127"/>
      <c r="CH32" s="127"/>
      <c r="CI32" s="127"/>
      <c r="CJ32" s="127"/>
      <c r="CK32" s="127"/>
      <c r="CL32" s="127"/>
      <c r="CM32" s="127"/>
      <c r="CN32" s="127"/>
      <c r="CO32" s="127"/>
      <c r="CP32" s="127"/>
      <c r="CQ32" s="127"/>
      <c r="CR32" s="127"/>
      <c r="CS32" s="127"/>
      <c r="CT32" s="127"/>
      <c r="CU32" s="127"/>
      <c r="CV32" s="127"/>
      <c r="CW32" s="127"/>
      <c r="CX32" s="127"/>
      <c r="CY32" s="127"/>
      <c r="CZ32" s="127"/>
      <c r="DA32" s="127"/>
      <c r="DB32" s="127"/>
      <c r="DC32" s="127"/>
      <c r="DD32" s="127"/>
      <c r="DE32" s="127"/>
      <c r="DF32" s="127"/>
      <c r="DG32" s="127"/>
      <c r="DH32" s="127"/>
      <c r="DI32" s="127"/>
      <c r="DJ32" s="127"/>
      <c r="DK32" s="127"/>
      <c r="DL32" s="127"/>
      <c r="DM32" s="127"/>
      <c r="DN32" s="127"/>
      <c r="DO32" s="127"/>
      <c r="DP32" s="127"/>
      <c r="DQ32" s="127"/>
      <c r="DR32" s="127"/>
      <c r="DS32" s="127"/>
      <c r="DT32" s="127"/>
      <c r="DU32" s="127"/>
      <c r="DV32" s="127"/>
      <c r="DW32" s="127"/>
      <c r="DX32" s="127"/>
      <c r="DY32" s="127"/>
      <c r="DZ32" s="127"/>
      <c r="EA32" s="127"/>
      <c r="EB32" s="127"/>
      <c r="EC32" s="127"/>
      <c r="ED32" s="127"/>
      <c r="EE32" s="127"/>
      <c r="EF32" s="127"/>
      <c r="EG32" s="127"/>
      <c r="EH32" s="127"/>
      <c r="EI32" s="127"/>
      <c r="EJ32" s="127"/>
      <c r="EK32" s="127"/>
      <c r="EL32" s="127"/>
      <c r="EM32" s="127"/>
      <c r="EN32" s="127"/>
      <c r="EO32" s="127"/>
      <c r="EP32" s="127"/>
      <c r="EQ32" s="127"/>
      <c r="ER32" s="127"/>
      <c r="ES32" s="127"/>
      <c r="ET32" s="127"/>
      <c r="EU32" s="127"/>
      <c r="EV32" s="127"/>
      <c r="EW32" s="127"/>
      <c r="EX32" s="127"/>
      <c r="EY32" s="127"/>
      <c r="EZ32" s="127"/>
      <c r="FA32" s="127"/>
      <c r="FB32" s="127"/>
      <c r="FC32" s="127"/>
      <c r="FD32" s="127"/>
      <c r="FE32" s="127"/>
      <c r="FF32" s="127"/>
      <c r="FG32" s="127"/>
      <c r="FH32" s="127"/>
      <c r="FI32" s="127"/>
      <c r="FJ32" s="127"/>
      <c r="FK32" s="127"/>
      <c r="FL32" s="127"/>
      <c r="FM32" s="127"/>
      <c r="FN32" s="127"/>
      <c r="FO32" s="127"/>
      <c r="FP32" s="127"/>
      <c r="FQ32" s="127"/>
      <c r="FR32" s="127"/>
      <c r="FS32" s="127"/>
      <c r="FT32" s="127"/>
      <c r="FU32" s="127"/>
      <c r="FV32" s="127"/>
      <c r="FW32" s="127"/>
      <c r="FX32" s="127"/>
      <c r="FY32" s="127"/>
      <c r="FZ32" s="127"/>
      <c r="GA32" s="127"/>
      <c r="GB32" s="127"/>
      <c r="GC32" s="127"/>
      <c r="GD32" s="127"/>
      <c r="GE32" s="127"/>
      <c r="GF32" s="127"/>
      <c r="GG32" s="127"/>
      <c r="GH32" s="127"/>
      <c r="GI32" s="127"/>
      <c r="GJ32" s="127"/>
      <c r="GK32" s="127"/>
      <c r="GL32" s="127"/>
      <c r="GM32" s="127"/>
      <c r="GN32" s="127"/>
      <c r="GO32" s="127"/>
      <c r="GP32" s="127"/>
      <c r="GQ32" s="127"/>
      <c r="GR32" s="127"/>
      <c r="GS32" s="127"/>
      <c r="GT32" s="127"/>
      <c r="GU32" s="127"/>
      <c r="GV32" s="127"/>
      <c r="GW32" s="127"/>
      <c r="GX32" s="127"/>
      <c r="GY32" s="127"/>
      <c r="GZ32" s="127"/>
      <c r="HA32" s="127"/>
      <c r="HB32" s="127"/>
      <c r="HC32" s="127"/>
      <c r="HD32" s="127"/>
      <c r="HE32" s="127"/>
      <c r="HF32" s="127"/>
      <c r="HG32" s="127"/>
      <c r="HH32" s="127"/>
      <c r="HI32" s="127"/>
      <c r="HJ32" s="127"/>
      <c r="HK32" s="127"/>
      <c r="HL32" s="127"/>
      <c r="HM32" s="127"/>
      <c r="HN32" s="127"/>
      <c r="HO32" s="127"/>
      <c r="HP32" s="127"/>
      <c r="HQ32" s="127"/>
      <c r="HR32" s="127"/>
      <c r="HS32" s="127"/>
      <c r="HT32" s="127"/>
      <c r="HU32" s="127"/>
      <c r="HV32" s="127"/>
      <c r="HW32" s="127"/>
      <c r="HX32" s="127"/>
      <c r="HY32" s="127"/>
      <c r="HZ32" s="127"/>
      <c r="IA32" s="127"/>
      <c r="IB32" s="127"/>
      <c r="IC32" s="127"/>
      <c r="ID32" s="127"/>
      <c r="IE32" s="127"/>
      <c r="IF32" s="127"/>
      <c r="IG32" s="127"/>
      <c r="IH32" s="127"/>
      <c r="II32" s="127"/>
      <c r="IJ32" s="127"/>
      <c r="IK32" s="127"/>
      <c r="IL32" s="127"/>
      <c r="IM32" s="127"/>
      <c r="IN32" s="127"/>
      <c r="IO32" s="127"/>
      <c r="IP32" s="127"/>
      <c r="IQ32" s="127"/>
      <c r="IR32" s="127"/>
      <c r="IS32" s="127"/>
      <c r="IT32" s="127"/>
      <c r="IU32" s="127"/>
      <c r="IV32" s="127"/>
    </row>
    <row r="33" spans="1:256" s="95" customFormat="1" ht="14.4" thickBot="1">
      <c r="A33" s="50">
        <v>20</v>
      </c>
      <c r="B33" s="51" t="str">
        <f t="shared" ref="B33:B37" si="5">F$9</f>
        <v>40°C</v>
      </c>
      <c r="C33" s="51" t="str">
        <f>C$10</f>
        <v>10%</v>
      </c>
      <c r="D33" s="51" t="str">
        <f>D$11</f>
        <v>3 h.</v>
      </c>
      <c r="E33" s="52">
        <f t="shared" si="1"/>
        <v>1240</v>
      </c>
      <c r="F33" s="57">
        <v>1240</v>
      </c>
      <c r="G33" s="57"/>
      <c r="H33" s="57"/>
      <c r="I33" s="57"/>
      <c r="J33" s="57"/>
      <c r="K33" s="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  <c r="BI33" s="127"/>
      <c r="BJ33" s="127"/>
      <c r="BK33" s="127"/>
      <c r="BL33" s="127"/>
      <c r="BM33" s="127"/>
      <c r="BN33" s="127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7"/>
      <c r="CJ33" s="127"/>
      <c r="CK33" s="127"/>
      <c r="CL33" s="127"/>
      <c r="CM33" s="127"/>
      <c r="CN33" s="127"/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27"/>
      <c r="DB33" s="127"/>
      <c r="DC33" s="127"/>
      <c r="DD33" s="127"/>
      <c r="DE33" s="127"/>
      <c r="DF33" s="127"/>
      <c r="DG33" s="127"/>
      <c r="DH33" s="127"/>
      <c r="DI33" s="127"/>
      <c r="DJ33" s="127"/>
      <c r="DK33" s="127"/>
      <c r="DL33" s="127"/>
      <c r="DM33" s="127"/>
      <c r="DN33" s="127"/>
      <c r="DO33" s="127"/>
      <c r="DP33" s="127"/>
      <c r="DQ33" s="127"/>
      <c r="DR33" s="127"/>
      <c r="DS33" s="127"/>
      <c r="DT33" s="127"/>
      <c r="DU33" s="127"/>
      <c r="DV33" s="127"/>
      <c r="DW33" s="127"/>
      <c r="DX33" s="127"/>
      <c r="DY33" s="127"/>
      <c r="DZ33" s="127"/>
      <c r="EA33" s="127"/>
      <c r="EB33" s="127"/>
      <c r="EC33" s="127"/>
      <c r="ED33" s="127"/>
      <c r="EE33" s="127"/>
      <c r="EF33" s="127"/>
      <c r="EG33" s="127"/>
      <c r="EH33" s="127"/>
      <c r="EI33" s="127"/>
      <c r="EJ33" s="127"/>
      <c r="EK33" s="127"/>
      <c r="EL33" s="127"/>
      <c r="EM33" s="127"/>
      <c r="EN33" s="127"/>
      <c r="EO33" s="127"/>
      <c r="EP33" s="127"/>
      <c r="EQ33" s="127"/>
      <c r="ER33" s="127"/>
      <c r="ES33" s="127"/>
      <c r="ET33" s="127"/>
      <c r="EU33" s="127"/>
      <c r="EV33" s="127"/>
      <c r="EW33" s="127"/>
      <c r="EX33" s="127"/>
      <c r="EY33" s="127"/>
      <c r="EZ33" s="127"/>
      <c r="FA33" s="127"/>
      <c r="FB33" s="127"/>
      <c r="FC33" s="127"/>
      <c r="FD33" s="127"/>
      <c r="FE33" s="127"/>
      <c r="FF33" s="127"/>
      <c r="FG33" s="127"/>
      <c r="FH33" s="127"/>
      <c r="FI33" s="127"/>
      <c r="FJ33" s="127"/>
      <c r="FK33" s="127"/>
      <c r="FL33" s="127"/>
      <c r="FM33" s="127"/>
      <c r="FN33" s="127"/>
      <c r="FO33" s="127"/>
      <c r="FP33" s="127"/>
      <c r="FQ33" s="127"/>
      <c r="FR33" s="127"/>
      <c r="FS33" s="127"/>
      <c r="FT33" s="127"/>
      <c r="FU33" s="127"/>
      <c r="FV33" s="127"/>
      <c r="FW33" s="127"/>
      <c r="FX33" s="127"/>
      <c r="FY33" s="127"/>
      <c r="FZ33" s="127"/>
      <c r="GA33" s="127"/>
      <c r="GB33" s="127"/>
      <c r="GC33" s="127"/>
      <c r="GD33" s="127"/>
      <c r="GE33" s="127"/>
      <c r="GF33" s="127"/>
      <c r="GG33" s="127"/>
      <c r="GH33" s="127"/>
      <c r="GI33" s="127"/>
      <c r="GJ33" s="127"/>
      <c r="GK33" s="127"/>
      <c r="GL33" s="127"/>
      <c r="GM33" s="127"/>
      <c r="GN33" s="127"/>
      <c r="GO33" s="127"/>
      <c r="GP33" s="127"/>
      <c r="GQ33" s="127"/>
      <c r="GR33" s="127"/>
      <c r="GS33" s="127"/>
      <c r="GT33" s="127"/>
      <c r="GU33" s="127"/>
      <c r="GV33" s="127"/>
      <c r="GW33" s="127"/>
      <c r="GX33" s="127"/>
      <c r="GY33" s="127"/>
      <c r="GZ33" s="127"/>
      <c r="HA33" s="127"/>
      <c r="HB33" s="127"/>
      <c r="HC33" s="127"/>
      <c r="HD33" s="127"/>
      <c r="HE33" s="127"/>
      <c r="HF33" s="127"/>
      <c r="HG33" s="127"/>
      <c r="HH33" s="127"/>
      <c r="HI33" s="127"/>
      <c r="HJ33" s="127"/>
      <c r="HK33" s="127"/>
      <c r="HL33" s="127"/>
      <c r="HM33" s="127"/>
      <c r="HN33" s="127"/>
      <c r="HO33" s="127"/>
      <c r="HP33" s="127"/>
      <c r="HQ33" s="127"/>
      <c r="HR33" s="127"/>
      <c r="HS33" s="127"/>
      <c r="HT33" s="127"/>
      <c r="HU33" s="127"/>
      <c r="HV33" s="127"/>
      <c r="HW33" s="127"/>
      <c r="HX33" s="127"/>
      <c r="HY33" s="127"/>
      <c r="HZ33" s="127"/>
      <c r="IA33" s="127"/>
      <c r="IB33" s="127"/>
      <c r="IC33" s="127"/>
      <c r="ID33" s="127"/>
      <c r="IE33" s="127"/>
      <c r="IF33" s="127"/>
      <c r="IG33" s="127"/>
      <c r="IH33" s="127"/>
      <c r="II33" s="127"/>
      <c r="IJ33" s="127"/>
      <c r="IK33" s="127"/>
      <c r="IL33" s="127"/>
      <c r="IM33" s="127"/>
      <c r="IN33" s="127"/>
      <c r="IO33" s="127"/>
      <c r="IP33" s="127"/>
      <c r="IQ33" s="127"/>
      <c r="IR33" s="127"/>
      <c r="IS33" s="127"/>
      <c r="IT33" s="127"/>
      <c r="IU33" s="127"/>
      <c r="IV33" s="127"/>
    </row>
    <row r="34" spans="1:256" ht="13.8">
      <c r="A34" s="50">
        <v>21</v>
      </c>
      <c r="B34" s="51" t="str">
        <f t="shared" si="5"/>
        <v>40°C</v>
      </c>
      <c r="C34" s="134">
        <v>0.3</v>
      </c>
      <c r="D34" s="51" t="str">
        <f>C$11</f>
        <v>1 h.</v>
      </c>
      <c r="E34" s="52">
        <f t="shared" si="1"/>
        <v>342</v>
      </c>
      <c r="F34" s="57">
        <v>342</v>
      </c>
      <c r="G34" s="57"/>
      <c r="H34" s="57"/>
      <c r="I34" s="57"/>
      <c r="J34" s="57"/>
      <c r="K34" s="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7"/>
      <c r="BN34" s="127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127"/>
      <c r="DE34" s="127"/>
      <c r="DF34" s="127"/>
      <c r="DG34" s="127"/>
      <c r="DH34" s="127"/>
      <c r="DI34" s="127"/>
      <c r="DJ34" s="127"/>
      <c r="DK34" s="127"/>
      <c r="DL34" s="127"/>
      <c r="DM34" s="127"/>
      <c r="DN34" s="127"/>
      <c r="DO34" s="127"/>
      <c r="DP34" s="127"/>
      <c r="DQ34" s="127"/>
      <c r="DR34" s="127"/>
      <c r="DS34" s="127"/>
      <c r="DT34" s="127"/>
      <c r="DU34" s="127"/>
      <c r="DV34" s="127"/>
      <c r="DW34" s="127"/>
      <c r="DX34" s="127"/>
      <c r="DY34" s="127"/>
      <c r="DZ34" s="127"/>
      <c r="EA34" s="127"/>
      <c r="EB34" s="127"/>
      <c r="EC34" s="127"/>
      <c r="ED34" s="127"/>
      <c r="EE34" s="127"/>
      <c r="EF34" s="127"/>
      <c r="EG34" s="127"/>
      <c r="EH34" s="127"/>
      <c r="EI34" s="127"/>
      <c r="EJ34" s="127"/>
      <c r="EK34" s="127"/>
      <c r="EL34" s="127"/>
      <c r="EM34" s="127"/>
      <c r="EN34" s="127"/>
      <c r="EO34" s="127"/>
      <c r="EP34" s="127"/>
      <c r="EQ34" s="127"/>
      <c r="ER34" s="127"/>
      <c r="ES34" s="127"/>
      <c r="ET34" s="127"/>
      <c r="EU34" s="127"/>
      <c r="EV34" s="127"/>
      <c r="EW34" s="127"/>
      <c r="EX34" s="127"/>
      <c r="EY34" s="127"/>
      <c r="EZ34" s="127"/>
      <c r="FA34" s="127"/>
      <c r="FB34" s="127"/>
      <c r="FC34" s="127"/>
      <c r="FD34" s="127"/>
      <c r="FE34" s="127"/>
      <c r="FF34" s="127"/>
      <c r="FG34" s="127"/>
      <c r="FH34" s="127"/>
      <c r="FI34" s="127"/>
      <c r="FJ34" s="127"/>
      <c r="FK34" s="127"/>
      <c r="FL34" s="127"/>
      <c r="FM34" s="127"/>
      <c r="FN34" s="127"/>
      <c r="FO34" s="127"/>
      <c r="FP34" s="127"/>
      <c r="FQ34" s="127"/>
      <c r="FR34" s="127"/>
      <c r="FS34" s="127"/>
      <c r="FT34" s="127"/>
      <c r="FU34" s="127"/>
      <c r="FV34" s="127"/>
      <c r="FW34" s="127"/>
      <c r="FX34" s="127"/>
      <c r="FY34" s="127"/>
      <c r="FZ34" s="127"/>
      <c r="GA34" s="127"/>
      <c r="GB34" s="127"/>
      <c r="GC34" s="127"/>
      <c r="GD34" s="127"/>
      <c r="GE34" s="127"/>
      <c r="GF34" s="127"/>
      <c r="GG34" s="127"/>
      <c r="GH34" s="127"/>
      <c r="GI34" s="127"/>
      <c r="GJ34" s="127"/>
      <c r="GK34" s="127"/>
      <c r="GL34" s="127"/>
      <c r="GM34" s="127"/>
      <c r="GN34" s="127"/>
      <c r="GO34" s="127"/>
      <c r="GP34" s="127"/>
      <c r="GQ34" s="127"/>
      <c r="GR34" s="127"/>
      <c r="GS34" s="127"/>
      <c r="GT34" s="127"/>
      <c r="GU34" s="127"/>
      <c r="GV34" s="127"/>
      <c r="GW34" s="127"/>
      <c r="GX34" s="127"/>
      <c r="GY34" s="127"/>
      <c r="GZ34" s="127"/>
      <c r="HA34" s="127"/>
      <c r="HB34" s="127"/>
      <c r="HC34" s="127"/>
      <c r="HD34" s="127"/>
      <c r="HE34" s="127"/>
      <c r="HF34" s="127"/>
      <c r="HG34" s="127"/>
      <c r="HH34" s="127"/>
      <c r="HI34" s="127"/>
      <c r="HJ34" s="127"/>
      <c r="HK34" s="127"/>
      <c r="HL34" s="127"/>
      <c r="HM34" s="127"/>
      <c r="HN34" s="127"/>
      <c r="HO34" s="127"/>
      <c r="HP34" s="127"/>
      <c r="HQ34" s="127"/>
      <c r="HR34" s="127"/>
      <c r="HS34" s="127"/>
      <c r="HT34" s="127"/>
      <c r="HU34" s="127"/>
      <c r="HV34" s="127"/>
      <c r="HW34" s="127"/>
      <c r="HX34" s="127"/>
      <c r="HY34" s="127"/>
      <c r="HZ34" s="127"/>
      <c r="IA34" s="127"/>
      <c r="IB34" s="127"/>
      <c r="IC34" s="127"/>
      <c r="ID34" s="127"/>
      <c r="IE34" s="127"/>
      <c r="IF34" s="127"/>
      <c r="IG34" s="127"/>
      <c r="IH34" s="127"/>
      <c r="II34" s="127"/>
      <c r="IJ34" s="127"/>
      <c r="IK34" s="127"/>
      <c r="IL34" s="127"/>
      <c r="IM34" s="127"/>
      <c r="IN34" s="127"/>
      <c r="IO34" s="127"/>
      <c r="IP34" s="127"/>
      <c r="IQ34" s="127"/>
      <c r="IR34" s="127"/>
      <c r="IS34" s="127"/>
      <c r="IT34" s="127"/>
      <c r="IU34" s="127"/>
      <c r="IV34" s="127"/>
    </row>
    <row r="35" spans="1:256" s="95" customFormat="1" ht="14.4" thickBot="1">
      <c r="A35" s="50">
        <v>22</v>
      </c>
      <c r="B35" s="51" t="str">
        <f t="shared" si="5"/>
        <v>40°C</v>
      </c>
      <c r="C35" s="134">
        <v>0.3</v>
      </c>
      <c r="D35" s="51" t="str">
        <f>D$11</f>
        <v>3 h.</v>
      </c>
      <c r="E35" s="52">
        <f t="shared" si="1"/>
        <v>1370</v>
      </c>
      <c r="F35" s="57">
        <v>1370</v>
      </c>
      <c r="G35" s="57"/>
      <c r="H35" s="57"/>
      <c r="I35" s="57"/>
      <c r="J35" s="57"/>
      <c r="K35" s="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  <c r="BI35" s="127"/>
      <c r="BJ35" s="127"/>
      <c r="BK35" s="127"/>
      <c r="BL35" s="127"/>
      <c r="BM35" s="127"/>
      <c r="BN35" s="127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7"/>
      <c r="CJ35" s="127"/>
      <c r="CK35" s="127"/>
      <c r="CL35" s="127"/>
      <c r="CM35" s="127"/>
      <c r="CN35" s="127"/>
      <c r="CO35" s="127"/>
      <c r="CP35" s="127"/>
      <c r="CQ35" s="127"/>
      <c r="CR35" s="127"/>
      <c r="CS35" s="127"/>
      <c r="CT35" s="127"/>
      <c r="CU35" s="127"/>
      <c r="CV35" s="127"/>
      <c r="CW35" s="127"/>
      <c r="CX35" s="127"/>
      <c r="CY35" s="127"/>
      <c r="CZ35" s="127"/>
      <c r="DA35" s="127"/>
      <c r="DB35" s="127"/>
      <c r="DC35" s="127"/>
      <c r="DD35" s="127"/>
      <c r="DE35" s="127"/>
      <c r="DF35" s="127"/>
      <c r="DG35" s="127"/>
      <c r="DH35" s="127"/>
      <c r="DI35" s="127"/>
      <c r="DJ35" s="127"/>
      <c r="DK35" s="127"/>
      <c r="DL35" s="127"/>
      <c r="DM35" s="127"/>
      <c r="DN35" s="127"/>
      <c r="DO35" s="127"/>
      <c r="DP35" s="127"/>
      <c r="DQ35" s="127"/>
      <c r="DR35" s="127"/>
      <c r="DS35" s="127"/>
      <c r="DT35" s="127"/>
      <c r="DU35" s="127"/>
      <c r="DV35" s="127"/>
      <c r="DW35" s="127"/>
      <c r="DX35" s="127"/>
      <c r="DY35" s="127"/>
      <c r="DZ35" s="127"/>
      <c r="EA35" s="127"/>
      <c r="EB35" s="127"/>
      <c r="EC35" s="127"/>
      <c r="ED35" s="127"/>
      <c r="EE35" s="127"/>
      <c r="EF35" s="127"/>
      <c r="EG35" s="127"/>
      <c r="EH35" s="127"/>
      <c r="EI35" s="127"/>
      <c r="EJ35" s="127"/>
      <c r="EK35" s="127"/>
      <c r="EL35" s="127"/>
      <c r="EM35" s="127"/>
      <c r="EN35" s="127"/>
      <c r="EO35" s="127"/>
      <c r="EP35" s="127"/>
      <c r="EQ35" s="127"/>
      <c r="ER35" s="127"/>
      <c r="ES35" s="127"/>
      <c r="ET35" s="127"/>
      <c r="EU35" s="127"/>
      <c r="EV35" s="127"/>
      <c r="EW35" s="127"/>
      <c r="EX35" s="127"/>
      <c r="EY35" s="127"/>
      <c r="EZ35" s="127"/>
      <c r="FA35" s="127"/>
      <c r="FB35" s="127"/>
      <c r="FC35" s="127"/>
      <c r="FD35" s="127"/>
      <c r="FE35" s="127"/>
      <c r="FF35" s="127"/>
      <c r="FG35" s="127"/>
      <c r="FH35" s="127"/>
      <c r="FI35" s="127"/>
      <c r="FJ35" s="127"/>
      <c r="FK35" s="127"/>
      <c r="FL35" s="127"/>
      <c r="FM35" s="127"/>
      <c r="FN35" s="127"/>
      <c r="FO35" s="127"/>
      <c r="FP35" s="127"/>
      <c r="FQ35" s="127"/>
      <c r="FR35" s="127"/>
      <c r="FS35" s="127"/>
      <c r="FT35" s="127"/>
      <c r="FU35" s="127"/>
      <c r="FV35" s="127"/>
      <c r="FW35" s="127"/>
      <c r="FX35" s="127"/>
      <c r="FY35" s="127"/>
      <c r="FZ35" s="127"/>
      <c r="GA35" s="127"/>
      <c r="GB35" s="127"/>
      <c r="GC35" s="127"/>
      <c r="GD35" s="127"/>
      <c r="GE35" s="127"/>
      <c r="GF35" s="127"/>
      <c r="GG35" s="127"/>
      <c r="GH35" s="127"/>
      <c r="GI35" s="127"/>
      <c r="GJ35" s="127"/>
      <c r="GK35" s="127"/>
      <c r="GL35" s="127"/>
      <c r="GM35" s="127"/>
      <c r="GN35" s="127"/>
      <c r="GO35" s="127"/>
      <c r="GP35" s="127"/>
      <c r="GQ35" s="127"/>
      <c r="GR35" s="127"/>
      <c r="GS35" s="127"/>
      <c r="GT35" s="127"/>
      <c r="GU35" s="127"/>
      <c r="GV35" s="127"/>
      <c r="GW35" s="127"/>
      <c r="GX35" s="127"/>
      <c r="GY35" s="127"/>
      <c r="GZ35" s="127"/>
      <c r="HA35" s="127"/>
      <c r="HB35" s="127"/>
      <c r="HC35" s="127"/>
      <c r="HD35" s="127"/>
      <c r="HE35" s="127"/>
      <c r="HF35" s="127"/>
      <c r="HG35" s="127"/>
      <c r="HH35" s="127"/>
      <c r="HI35" s="127"/>
      <c r="HJ35" s="127"/>
      <c r="HK35" s="127"/>
      <c r="HL35" s="127"/>
      <c r="HM35" s="127"/>
      <c r="HN35" s="127"/>
      <c r="HO35" s="127"/>
      <c r="HP35" s="127"/>
      <c r="HQ35" s="127"/>
      <c r="HR35" s="127"/>
      <c r="HS35" s="127"/>
      <c r="HT35" s="127"/>
      <c r="HU35" s="127"/>
      <c r="HV35" s="127"/>
      <c r="HW35" s="127"/>
      <c r="HX35" s="127"/>
      <c r="HY35" s="127"/>
      <c r="HZ35" s="127"/>
      <c r="IA35" s="127"/>
      <c r="IB35" s="127"/>
      <c r="IC35" s="127"/>
      <c r="ID35" s="127"/>
      <c r="IE35" s="127"/>
      <c r="IF35" s="127"/>
      <c r="IG35" s="127"/>
      <c r="IH35" s="127"/>
      <c r="II35" s="127"/>
      <c r="IJ35" s="127"/>
      <c r="IK35" s="127"/>
      <c r="IL35" s="127"/>
      <c r="IM35" s="127"/>
      <c r="IN35" s="127"/>
      <c r="IO35" s="127"/>
      <c r="IP35" s="127"/>
      <c r="IQ35" s="127"/>
      <c r="IR35" s="127"/>
      <c r="IS35" s="127"/>
      <c r="IT35" s="127"/>
      <c r="IU35" s="127"/>
      <c r="IV35" s="127"/>
    </row>
    <row r="36" spans="1:256" ht="13.8">
      <c r="A36" s="50">
        <v>23</v>
      </c>
      <c r="B36" s="51" t="str">
        <f t="shared" si="5"/>
        <v>40°C</v>
      </c>
      <c r="C36" s="51" t="str">
        <f>E$10</f>
        <v>50%</v>
      </c>
      <c r="D36" s="51" t="str">
        <f>C$11</f>
        <v>1 h.</v>
      </c>
      <c r="E36" s="52">
        <f t="shared" si="1"/>
        <v>1402.5</v>
      </c>
      <c r="F36" s="57">
        <v>1402.5</v>
      </c>
      <c r="G36" s="57"/>
      <c r="H36" s="57"/>
      <c r="I36" s="57"/>
      <c r="J36" s="57"/>
      <c r="K36" s="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7"/>
      <c r="BN36" s="127"/>
      <c r="BO36" s="127"/>
      <c r="BP36" s="127"/>
      <c r="BQ36" s="127"/>
      <c r="BR36" s="127"/>
      <c r="BS36" s="127"/>
      <c r="BT36" s="127"/>
      <c r="BU36" s="127"/>
      <c r="BV36" s="127"/>
      <c r="BW36" s="127"/>
      <c r="BX36" s="127"/>
      <c r="BY36" s="127"/>
      <c r="BZ36" s="127"/>
      <c r="CA36" s="127"/>
      <c r="CB36" s="127"/>
      <c r="CC36" s="127"/>
      <c r="CD36" s="127"/>
      <c r="CE36" s="127"/>
      <c r="CF36" s="127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7"/>
      <c r="DC36" s="127"/>
      <c r="DD36" s="127"/>
      <c r="DE36" s="127"/>
      <c r="DF36" s="127"/>
      <c r="DG36" s="127"/>
      <c r="DH36" s="127"/>
      <c r="DI36" s="127"/>
      <c r="DJ36" s="127"/>
      <c r="DK36" s="127"/>
      <c r="DL36" s="127"/>
      <c r="DM36" s="127"/>
      <c r="DN36" s="127"/>
      <c r="DO36" s="127"/>
      <c r="DP36" s="127"/>
      <c r="DQ36" s="127"/>
      <c r="DR36" s="127"/>
      <c r="DS36" s="127"/>
      <c r="DT36" s="127"/>
      <c r="DU36" s="127"/>
      <c r="DV36" s="127"/>
      <c r="DW36" s="127"/>
      <c r="DX36" s="127"/>
      <c r="DY36" s="127"/>
      <c r="DZ36" s="127"/>
      <c r="EA36" s="127"/>
      <c r="EB36" s="127"/>
      <c r="EC36" s="127"/>
      <c r="ED36" s="127"/>
      <c r="EE36" s="127"/>
      <c r="EF36" s="127"/>
      <c r="EG36" s="127"/>
      <c r="EH36" s="127"/>
      <c r="EI36" s="127"/>
      <c r="EJ36" s="127"/>
      <c r="EK36" s="127"/>
      <c r="EL36" s="127"/>
      <c r="EM36" s="127"/>
      <c r="EN36" s="127"/>
      <c r="EO36" s="127"/>
      <c r="EP36" s="127"/>
      <c r="EQ36" s="127"/>
      <c r="ER36" s="127"/>
      <c r="ES36" s="127"/>
      <c r="ET36" s="127"/>
      <c r="EU36" s="127"/>
      <c r="EV36" s="127"/>
      <c r="EW36" s="127"/>
      <c r="EX36" s="127"/>
      <c r="EY36" s="127"/>
      <c r="EZ36" s="127"/>
      <c r="FA36" s="127"/>
      <c r="FB36" s="127"/>
      <c r="FC36" s="127"/>
      <c r="FD36" s="127"/>
      <c r="FE36" s="127"/>
      <c r="FF36" s="127"/>
      <c r="FG36" s="127"/>
      <c r="FH36" s="127"/>
      <c r="FI36" s="127"/>
      <c r="FJ36" s="127"/>
      <c r="FK36" s="127"/>
      <c r="FL36" s="127"/>
      <c r="FM36" s="127"/>
      <c r="FN36" s="127"/>
      <c r="FO36" s="127"/>
      <c r="FP36" s="127"/>
      <c r="FQ36" s="127"/>
      <c r="FR36" s="127"/>
      <c r="FS36" s="127"/>
      <c r="FT36" s="127"/>
      <c r="FU36" s="127"/>
      <c r="FV36" s="127"/>
      <c r="FW36" s="127"/>
      <c r="FX36" s="127"/>
      <c r="FY36" s="127"/>
      <c r="FZ36" s="127"/>
      <c r="GA36" s="127"/>
      <c r="GB36" s="127"/>
      <c r="GC36" s="127"/>
      <c r="GD36" s="127"/>
      <c r="GE36" s="127"/>
      <c r="GF36" s="127"/>
      <c r="GG36" s="127"/>
      <c r="GH36" s="127"/>
      <c r="GI36" s="127"/>
      <c r="GJ36" s="127"/>
      <c r="GK36" s="127"/>
      <c r="GL36" s="127"/>
      <c r="GM36" s="127"/>
      <c r="GN36" s="127"/>
      <c r="GO36" s="127"/>
      <c r="GP36" s="127"/>
      <c r="GQ36" s="127"/>
      <c r="GR36" s="127"/>
      <c r="GS36" s="127"/>
      <c r="GT36" s="127"/>
      <c r="GU36" s="127"/>
      <c r="GV36" s="127"/>
      <c r="GW36" s="127"/>
      <c r="GX36" s="127"/>
      <c r="GY36" s="127"/>
      <c r="GZ36" s="127"/>
      <c r="HA36" s="127"/>
      <c r="HB36" s="127"/>
      <c r="HC36" s="127"/>
      <c r="HD36" s="127"/>
      <c r="HE36" s="127"/>
      <c r="HF36" s="127"/>
      <c r="HG36" s="127"/>
      <c r="HH36" s="127"/>
      <c r="HI36" s="127"/>
      <c r="HJ36" s="127"/>
      <c r="HK36" s="127"/>
      <c r="HL36" s="127"/>
      <c r="HM36" s="127"/>
      <c r="HN36" s="127"/>
      <c r="HO36" s="127"/>
      <c r="HP36" s="127"/>
      <c r="HQ36" s="127"/>
      <c r="HR36" s="127"/>
      <c r="HS36" s="127"/>
      <c r="HT36" s="127"/>
      <c r="HU36" s="127"/>
      <c r="HV36" s="127"/>
      <c r="HW36" s="127"/>
      <c r="HX36" s="127"/>
      <c r="HY36" s="127"/>
      <c r="HZ36" s="127"/>
      <c r="IA36" s="127"/>
      <c r="IB36" s="127"/>
      <c r="IC36" s="127"/>
      <c r="ID36" s="127"/>
      <c r="IE36" s="127"/>
      <c r="IF36" s="127"/>
      <c r="IG36" s="127"/>
      <c r="IH36" s="127"/>
      <c r="II36" s="127"/>
      <c r="IJ36" s="127"/>
      <c r="IK36" s="127"/>
      <c r="IL36" s="127"/>
      <c r="IM36" s="127"/>
      <c r="IN36" s="127"/>
      <c r="IO36" s="127"/>
      <c r="IP36" s="127"/>
      <c r="IQ36" s="127"/>
      <c r="IR36" s="127"/>
      <c r="IS36" s="127"/>
      <c r="IT36" s="127"/>
      <c r="IU36" s="127"/>
      <c r="IV36" s="127"/>
    </row>
    <row r="37" spans="1:256" ht="13.8">
      <c r="A37" s="50">
        <v>24</v>
      </c>
      <c r="B37" s="51" t="str">
        <f t="shared" si="5"/>
        <v>40°C</v>
      </c>
      <c r="C37" s="51" t="str">
        <f>E$10</f>
        <v>50%</v>
      </c>
      <c r="D37" s="51" t="str">
        <f>D$11</f>
        <v>3 h.</v>
      </c>
      <c r="E37" s="52">
        <f t="shared" si="1"/>
        <v>1500</v>
      </c>
      <c r="F37" s="57">
        <v>1500</v>
      </c>
      <c r="G37" s="57"/>
      <c r="H37" s="57"/>
      <c r="I37" s="57"/>
      <c r="J37" s="57"/>
      <c r="K37" s="27"/>
      <c r="L37" s="127"/>
      <c r="M37" s="127"/>
      <c r="N37" s="127"/>
      <c r="O37" s="127"/>
      <c r="P37" s="127"/>
      <c r="Q37" s="127"/>
      <c r="R37" s="127"/>
      <c r="U37" s="128"/>
    </row>
    <row r="38" spans="1:256" ht="13.8">
      <c r="B38" s="9"/>
      <c r="C38" s="9"/>
      <c r="D38" s="9"/>
      <c r="E38" s="9"/>
      <c r="F38" s="9"/>
      <c r="H38" s="24"/>
      <c r="I38" s="24"/>
      <c r="J38" s="24"/>
      <c r="K38" s="25"/>
      <c r="L38" s="127"/>
      <c r="M38" s="127"/>
      <c r="N38" s="127"/>
      <c r="O38" s="127"/>
      <c r="P38" s="127"/>
      <c r="Q38" s="127"/>
      <c r="R38" s="127"/>
    </row>
    <row r="39" spans="1:256" ht="13.8">
      <c r="A39" s="58" t="s">
        <v>17</v>
      </c>
      <c r="B39" s="59" t="s">
        <v>18</v>
      </c>
      <c r="C39" s="59" t="s">
        <v>19</v>
      </c>
      <c r="D39" s="59" t="s">
        <v>20</v>
      </c>
      <c r="E39" s="59" t="s">
        <v>26</v>
      </c>
      <c r="F39" s="27"/>
      <c r="G39" s="161" t="s">
        <v>159</v>
      </c>
      <c r="H39" s="162"/>
      <c r="I39" s="163"/>
      <c r="J39" s="27"/>
      <c r="K39" s="27"/>
      <c r="L39" s="127"/>
      <c r="M39" s="127"/>
      <c r="N39" s="127"/>
      <c r="O39" s="127"/>
      <c r="P39" s="127"/>
      <c r="Q39" s="127"/>
      <c r="R39" s="127"/>
    </row>
    <row r="40" spans="1:256" ht="13.8">
      <c r="A40" s="58" t="s">
        <v>21</v>
      </c>
      <c r="B40" s="60">
        <f>AVERAGE(E14:E37)</f>
        <v>709.5</v>
      </c>
      <c r="C40" s="135">
        <f>AVERAGE(_RA1)-B40</f>
        <v>-510.16666666666663</v>
      </c>
      <c r="D40" s="60">
        <f>AVERAGE(_RB1)-B40</f>
        <v>-67.1875</v>
      </c>
      <c r="E40" s="60">
        <f>AVERAGE(xxl)-B40</f>
        <v>-84.666666666666629</v>
      </c>
      <c r="F40" s="28"/>
      <c r="G40" s="164" t="s">
        <v>160</v>
      </c>
      <c r="H40" s="165"/>
      <c r="I40" s="166"/>
      <c r="J40" s="28"/>
      <c r="K40" s="28"/>
      <c r="L40" s="127"/>
      <c r="M40" s="127"/>
      <c r="N40" s="127"/>
      <c r="O40" s="127" t="str">
        <f>B10</f>
        <v>Moût</v>
      </c>
      <c r="P40" s="127" t="str">
        <f>B10</f>
        <v>Moût</v>
      </c>
      <c r="Q40" s="127" t="str">
        <f>B10</f>
        <v>Moût</v>
      </c>
      <c r="R40" s="127"/>
      <c r="S40" s="12"/>
    </row>
    <row r="41" spans="1:256" ht="13.8">
      <c r="A41" s="58" t="s">
        <v>22</v>
      </c>
      <c r="B41" s="60">
        <f>AVERAGE(E14:E37)</f>
        <v>709.5</v>
      </c>
      <c r="C41" s="60">
        <f>AVERAGE(_RA2)-B41</f>
        <v>-168.25</v>
      </c>
      <c r="D41" s="60">
        <f>AVERAGE(_RB2)-B41</f>
        <v>-89.5625</v>
      </c>
      <c r="E41" s="60">
        <f>AVERAGE(xxxl)-B41</f>
        <v>84.666666666666629</v>
      </c>
      <c r="F41" s="28"/>
      <c r="G41" s="28"/>
      <c r="H41" s="28"/>
      <c r="I41" s="28"/>
      <c r="J41" s="28"/>
      <c r="K41" s="28"/>
      <c r="L41" s="127"/>
      <c r="M41" s="127"/>
      <c r="N41" s="127"/>
      <c r="O41" s="127" t="str">
        <f>C10</f>
        <v>10%</v>
      </c>
      <c r="P41" s="127" t="str">
        <f>D10</f>
        <v>30%</v>
      </c>
      <c r="Q41" s="127" t="str">
        <f>E10</f>
        <v>50%</v>
      </c>
      <c r="R41" s="127"/>
    </row>
    <row r="42" spans="1:256" s="31" customFormat="1" ht="13.8">
      <c r="A42" s="61" t="s">
        <v>23</v>
      </c>
      <c r="B42" s="60">
        <f>AVERAGE(E14:E37)</f>
        <v>709.5</v>
      </c>
      <c r="C42" s="60">
        <f>AVERAGE(_RA3)-B42</f>
        <v>221.75</v>
      </c>
      <c r="D42" s="60">
        <f>AVERAGE(_RB3)-B42</f>
        <v>156.75</v>
      </c>
      <c r="E42" s="62"/>
      <c r="F42" s="29"/>
      <c r="G42" s="29"/>
      <c r="H42" s="29"/>
      <c r="I42" s="29"/>
      <c r="J42" s="29"/>
      <c r="K42" s="29"/>
      <c r="L42" s="127"/>
      <c r="M42" s="127" t="str">
        <f>C11</f>
        <v>1 h.</v>
      </c>
      <c r="N42" s="127" t="str">
        <f>B11</f>
        <v>Durée</v>
      </c>
      <c r="O42" s="127">
        <f>AVERAGE(RB1C1)</f>
        <v>602.125</v>
      </c>
      <c r="P42" s="127">
        <f>AVERAGE(RB2C1)</f>
        <v>454.875</v>
      </c>
      <c r="Q42" s="127">
        <f>AVERAGE(RB3C1)</f>
        <v>817.5</v>
      </c>
      <c r="R42" s="127"/>
    </row>
    <row r="43" spans="1:256" s="31" customFormat="1" ht="14.25" customHeight="1">
      <c r="A43" s="58" t="s">
        <v>42</v>
      </c>
      <c r="B43" s="60">
        <f>AVERAGE(E14:E37)</f>
        <v>709.5</v>
      </c>
      <c r="C43" s="60">
        <f>AVERAGE(_RA4)-B43</f>
        <v>456.66666666666674</v>
      </c>
      <c r="D43" s="60"/>
      <c r="E43" s="60"/>
      <c r="F43" s="28"/>
      <c r="G43" s="21"/>
      <c r="H43" s="21"/>
      <c r="I43" s="21"/>
      <c r="J43" s="21"/>
      <c r="K43" s="21"/>
      <c r="L43" s="127"/>
      <c r="M43" s="127" t="str">
        <f>D11</f>
        <v>3 h.</v>
      </c>
      <c r="N43" s="127" t="str">
        <f>B11</f>
        <v>Durée</v>
      </c>
      <c r="O43" s="127">
        <f>AVERAGE(RB1C2)</f>
        <v>682.5</v>
      </c>
      <c r="P43" s="127">
        <f>AVERAGE(RB2C2)</f>
        <v>785</v>
      </c>
      <c r="Q43" s="127">
        <f>AVERAGE(RB3C2)</f>
        <v>915</v>
      </c>
      <c r="R43" s="127"/>
    </row>
    <row r="44" spans="1:256" s="31" customFormat="1" ht="14.25" customHeight="1">
      <c r="A44" s="30"/>
      <c r="B44" s="28"/>
      <c r="C44" s="28"/>
      <c r="D44" s="28"/>
      <c r="E44" s="28"/>
      <c r="F44" s="28"/>
      <c r="G44" s="21"/>
      <c r="H44" s="21"/>
      <c r="I44" s="21"/>
      <c r="J44" s="21"/>
      <c r="K44" s="21"/>
      <c r="L44" s="127"/>
      <c r="M44" s="127"/>
      <c r="N44" s="127"/>
      <c r="O44" s="127"/>
      <c r="P44" s="127"/>
      <c r="Q44" s="127"/>
      <c r="R44" s="127"/>
    </row>
    <row r="45" spans="1:256" s="31" customFormat="1" ht="13.5" customHeight="1">
      <c r="A45" s="63"/>
      <c r="B45" s="63"/>
      <c r="C45" s="64"/>
      <c r="D45" s="63"/>
      <c r="E45" s="63"/>
      <c r="F45" s="63"/>
      <c r="G45" s="63"/>
      <c r="H45" s="63"/>
      <c r="I45" s="63"/>
      <c r="J45" s="21"/>
      <c r="K45" s="21"/>
      <c r="L45" s="127"/>
      <c r="M45" s="127"/>
      <c r="N45" s="127"/>
      <c r="O45" s="127"/>
      <c r="P45" s="127"/>
      <c r="Q45" s="127"/>
      <c r="R45" s="127"/>
    </row>
    <row r="46" spans="1:256">
      <c r="A46" s="103" t="s">
        <v>135</v>
      </c>
      <c r="B46" s="67"/>
      <c r="C46" s="64"/>
      <c r="D46" s="64"/>
      <c r="E46" s="67"/>
      <c r="F46" s="64"/>
      <c r="G46" s="64"/>
      <c r="H46" s="67"/>
      <c r="I46" s="67"/>
      <c r="J46" s="9"/>
      <c r="K46" s="9"/>
      <c r="L46" s="127"/>
      <c r="M46" s="127"/>
      <c r="N46" s="127"/>
      <c r="O46" s="127"/>
      <c r="P46" s="127"/>
      <c r="Q46" s="127"/>
      <c r="R46" s="127"/>
    </row>
    <row r="47" spans="1:256">
      <c r="A47" s="67"/>
      <c r="B47" s="156" t="s">
        <v>195</v>
      </c>
      <c r="C47" s="156" t="s">
        <v>154</v>
      </c>
      <c r="D47" s="109" t="s">
        <v>155</v>
      </c>
      <c r="E47" s="109" t="s">
        <v>156</v>
      </c>
      <c r="F47" s="157" t="s">
        <v>157</v>
      </c>
      <c r="G47" s="109" t="s">
        <v>158</v>
      </c>
      <c r="H47" s="67"/>
      <c r="I47" s="67"/>
      <c r="J47" s="9"/>
      <c r="K47" s="9"/>
    </row>
    <row r="48" spans="1:256">
      <c r="A48" s="67"/>
      <c r="B48" s="84" t="s">
        <v>12</v>
      </c>
      <c r="C48" s="84" t="s">
        <v>136</v>
      </c>
      <c r="D48" s="140" t="s">
        <v>140</v>
      </c>
      <c r="E48" s="64" t="s">
        <v>143</v>
      </c>
      <c r="F48" s="115">
        <f>IF(F14="","",F14)</f>
        <v>151</v>
      </c>
      <c r="G48" s="159" t="str">
        <f t="shared" ref="G48:G111" si="6">IF(F48="","",CONCATENATE(C48,"_",D48,"_",E48))</f>
        <v>A1_B1_C1</v>
      </c>
      <c r="H48" s="67"/>
      <c r="I48" s="67"/>
      <c r="J48" s="9"/>
      <c r="K48" s="9"/>
    </row>
    <row r="49" spans="1:24">
      <c r="A49" s="67"/>
      <c r="B49" s="84" t="s">
        <v>12</v>
      </c>
      <c r="C49" s="84" t="s">
        <v>136</v>
      </c>
      <c r="D49" s="140" t="s">
        <v>140</v>
      </c>
      <c r="E49" s="64" t="s">
        <v>144</v>
      </c>
      <c r="F49" s="115">
        <f>IF(F15="","",F15)</f>
        <v>180</v>
      </c>
      <c r="G49" s="158" t="str">
        <f t="shared" si="6"/>
        <v>A1_B1_C2</v>
      </c>
      <c r="H49" s="67"/>
      <c r="I49" s="67"/>
      <c r="J49" s="9"/>
      <c r="K49" s="9"/>
    </row>
    <row r="50" spans="1:24">
      <c r="A50" s="67"/>
      <c r="B50" s="84" t="s">
        <v>12</v>
      </c>
      <c r="C50" s="84" t="s">
        <v>136</v>
      </c>
      <c r="D50" s="140" t="s">
        <v>141</v>
      </c>
      <c r="E50" s="64" t="s">
        <v>143</v>
      </c>
      <c r="F50" s="115">
        <f>IF(F16="","",F16)</f>
        <v>102.5</v>
      </c>
      <c r="G50" s="158" t="str">
        <f t="shared" si="6"/>
        <v>A1_B2_C1</v>
      </c>
      <c r="H50" s="67"/>
      <c r="I50" s="67"/>
      <c r="J50" s="9"/>
      <c r="K50" s="9"/>
    </row>
    <row r="51" spans="1:24">
      <c r="A51" s="67"/>
      <c r="B51" s="84" t="s">
        <v>12</v>
      </c>
      <c r="C51" s="84" t="s">
        <v>136</v>
      </c>
      <c r="D51" s="140" t="s">
        <v>141</v>
      </c>
      <c r="E51" s="64" t="s">
        <v>144</v>
      </c>
      <c r="F51" s="115">
        <f>IF(F17="","",F17)</f>
        <v>200</v>
      </c>
      <c r="G51" s="158" t="str">
        <f t="shared" si="6"/>
        <v>A1_B2_C2</v>
      </c>
      <c r="H51" s="67"/>
      <c r="I51" s="67"/>
      <c r="J51" s="9"/>
      <c r="K51" s="9"/>
    </row>
    <row r="52" spans="1:24">
      <c r="A52" s="67"/>
      <c r="B52" s="84" t="s">
        <v>12</v>
      </c>
      <c r="C52" s="84" t="s">
        <v>136</v>
      </c>
      <c r="D52" s="140" t="s">
        <v>142</v>
      </c>
      <c r="E52" s="64" t="s">
        <v>143</v>
      </c>
      <c r="F52" s="115">
        <f>IF(F18="","",F18)</f>
        <v>232.5</v>
      </c>
      <c r="G52" s="158" t="str">
        <f t="shared" si="6"/>
        <v>A1_B3_C1</v>
      </c>
      <c r="H52" s="67"/>
      <c r="I52" s="67"/>
      <c r="J52" s="9"/>
      <c r="K52" s="9"/>
    </row>
    <row r="53" spans="1:24">
      <c r="A53" s="67"/>
      <c r="B53" s="84" t="s">
        <v>12</v>
      </c>
      <c r="C53" s="84" t="s">
        <v>136</v>
      </c>
      <c r="D53" s="140" t="s">
        <v>142</v>
      </c>
      <c r="E53" s="64" t="s">
        <v>144</v>
      </c>
      <c r="F53" s="115">
        <f>IF(F19="","",F19)</f>
        <v>330</v>
      </c>
      <c r="G53" s="158" t="str">
        <f t="shared" si="6"/>
        <v>A1_B3_C2</v>
      </c>
      <c r="H53" s="67"/>
      <c r="I53" s="67"/>
      <c r="J53" s="9"/>
      <c r="K53" s="9"/>
    </row>
    <row r="54" spans="1:24">
      <c r="A54" s="67"/>
      <c r="B54" s="84" t="s">
        <v>12</v>
      </c>
      <c r="C54" s="84" t="s">
        <v>137</v>
      </c>
      <c r="D54" s="140" t="s">
        <v>140</v>
      </c>
      <c r="E54" s="64" t="s">
        <v>143</v>
      </c>
      <c r="F54" s="115">
        <f>IF(F20="","",F20)</f>
        <v>362.5</v>
      </c>
      <c r="G54" s="158" t="str">
        <f t="shared" si="6"/>
        <v>A2_B1_C1</v>
      </c>
      <c r="H54" s="67"/>
      <c r="I54" s="67"/>
      <c r="J54" s="9"/>
      <c r="K54" s="9"/>
    </row>
    <row r="55" spans="1:24">
      <c r="A55" s="67"/>
      <c r="B55" s="84" t="s">
        <v>12</v>
      </c>
      <c r="C55" s="84" t="s">
        <v>137</v>
      </c>
      <c r="D55" s="140" t="s">
        <v>140</v>
      </c>
      <c r="E55" s="64" t="s">
        <v>144</v>
      </c>
      <c r="F55" s="115">
        <f>IF(F21="","",F21)</f>
        <v>460</v>
      </c>
      <c r="G55" s="158" t="str">
        <f t="shared" si="6"/>
        <v>A2_B1_C2</v>
      </c>
      <c r="H55" s="67"/>
      <c r="I55" s="67"/>
      <c r="J55" s="9"/>
      <c r="K55" s="9"/>
    </row>
    <row r="56" spans="1:24">
      <c r="A56" s="67"/>
      <c r="B56" s="84" t="s">
        <v>12</v>
      </c>
      <c r="C56" s="84" t="s">
        <v>137</v>
      </c>
      <c r="D56" s="140" t="s">
        <v>141</v>
      </c>
      <c r="E56" s="64" t="s">
        <v>143</v>
      </c>
      <c r="F56" s="115">
        <f>IF(F22="","",F22)</f>
        <v>492.5</v>
      </c>
      <c r="G56" s="158" t="str">
        <f t="shared" si="6"/>
        <v>A2_B2_C1</v>
      </c>
      <c r="H56" s="67"/>
      <c r="I56" s="67"/>
      <c r="J56" s="9"/>
      <c r="K56" s="9"/>
    </row>
    <row r="57" spans="1:24">
      <c r="A57" s="67"/>
      <c r="B57" s="84" t="s">
        <v>12</v>
      </c>
      <c r="C57" s="84" t="s">
        <v>137</v>
      </c>
      <c r="D57" s="140" t="s">
        <v>141</v>
      </c>
      <c r="E57" s="64" t="s">
        <v>144</v>
      </c>
      <c r="F57" s="115">
        <f>IF(F23="","",F23)</f>
        <v>590</v>
      </c>
      <c r="G57" s="158" t="str">
        <f t="shared" si="6"/>
        <v>A2_B2_C2</v>
      </c>
      <c r="H57" s="67"/>
      <c r="I57" s="67"/>
      <c r="J57" s="9"/>
      <c r="K57" s="9"/>
    </row>
    <row r="58" spans="1:24">
      <c r="A58" s="67"/>
      <c r="B58" s="84" t="s">
        <v>12</v>
      </c>
      <c r="C58" s="84" t="s">
        <v>137</v>
      </c>
      <c r="D58" s="140" t="s">
        <v>142</v>
      </c>
      <c r="E58" s="64" t="s">
        <v>143</v>
      </c>
      <c r="F58" s="115">
        <f>IF(F24="","",F24)</f>
        <v>622.5</v>
      </c>
      <c r="G58" s="158" t="str">
        <f t="shared" si="6"/>
        <v>A2_B3_C1</v>
      </c>
      <c r="H58" s="67"/>
      <c r="I58" s="67"/>
      <c r="J58" s="9"/>
      <c r="K58" s="9"/>
    </row>
    <row r="59" spans="1:24">
      <c r="A59" s="67"/>
      <c r="B59" s="84" t="s">
        <v>12</v>
      </c>
      <c r="C59" s="84" t="s">
        <v>137</v>
      </c>
      <c r="D59" s="140" t="s">
        <v>142</v>
      </c>
      <c r="E59" s="64" t="s">
        <v>144</v>
      </c>
      <c r="F59" s="115">
        <f>IF(F25="","",F25)</f>
        <v>720</v>
      </c>
      <c r="G59" s="158" t="str">
        <f t="shared" si="6"/>
        <v>A2_B3_C2</v>
      </c>
      <c r="H59" s="67"/>
      <c r="I59" s="67"/>
      <c r="J59" s="9"/>
      <c r="K59" s="9"/>
    </row>
    <row r="60" spans="1:24">
      <c r="A60" s="67"/>
      <c r="B60" s="84" t="s">
        <v>12</v>
      </c>
      <c r="C60" s="84" t="s">
        <v>138</v>
      </c>
      <c r="D60" s="140" t="s">
        <v>140</v>
      </c>
      <c r="E60" s="64" t="s">
        <v>143</v>
      </c>
      <c r="F60" s="115">
        <f>IF(F26="","",F26)</f>
        <v>752.5</v>
      </c>
      <c r="G60" s="158" t="str">
        <f t="shared" si="6"/>
        <v>A3_B1_C1</v>
      </c>
      <c r="H60" s="67"/>
      <c r="I60" s="67"/>
      <c r="J60" s="9"/>
      <c r="K60" s="9"/>
    </row>
    <row r="61" spans="1:24">
      <c r="A61" s="67"/>
      <c r="B61" s="84" t="s">
        <v>12</v>
      </c>
      <c r="C61" s="84" t="s">
        <v>138</v>
      </c>
      <c r="D61" s="140" t="s">
        <v>140</v>
      </c>
      <c r="E61" s="64" t="s">
        <v>144</v>
      </c>
      <c r="F61" s="115">
        <f>IF(F27="","",F27)</f>
        <v>850</v>
      </c>
      <c r="G61" s="158" t="str">
        <f t="shared" si="6"/>
        <v>A3_B1_C2</v>
      </c>
      <c r="H61" s="67"/>
      <c r="I61" s="67"/>
      <c r="J61" s="9"/>
      <c r="K61" s="9"/>
      <c r="L61" s="127"/>
      <c r="M61" s="127"/>
      <c r="N61" s="31"/>
      <c r="O61" s="31"/>
      <c r="P61" s="31"/>
      <c r="Q61" s="31"/>
      <c r="R61" s="129"/>
      <c r="S61" s="12"/>
    </row>
    <row r="62" spans="1:24">
      <c r="A62" s="67"/>
      <c r="B62" s="84" t="s">
        <v>12</v>
      </c>
      <c r="C62" s="84" t="s">
        <v>138</v>
      </c>
      <c r="D62" s="140" t="s">
        <v>141</v>
      </c>
      <c r="E62" s="64" t="s">
        <v>143</v>
      </c>
      <c r="F62" s="115">
        <f>IF(F28="","",F28)</f>
        <v>882.5</v>
      </c>
      <c r="G62" s="158" t="str">
        <f t="shared" si="6"/>
        <v>A3_B2_C1</v>
      </c>
      <c r="H62" s="67"/>
      <c r="I62" s="67"/>
      <c r="J62" s="9"/>
      <c r="K62" s="9"/>
      <c r="L62" s="127"/>
      <c r="M62" s="127"/>
      <c r="N62" s="31"/>
      <c r="O62" s="31"/>
      <c r="P62" s="31"/>
      <c r="Q62" s="31"/>
      <c r="R62" s="129"/>
      <c r="S62" s="12"/>
    </row>
    <row r="63" spans="1:24">
      <c r="A63" s="67"/>
      <c r="B63" s="84" t="s">
        <v>12</v>
      </c>
      <c r="C63" s="84" t="s">
        <v>138</v>
      </c>
      <c r="D63" s="140" t="s">
        <v>141</v>
      </c>
      <c r="E63" s="64" t="s">
        <v>144</v>
      </c>
      <c r="F63" s="115">
        <f>IF(F29="","",F29)</f>
        <v>980</v>
      </c>
      <c r="G63" s="158" t="str">
        <f t="shared" si="6"/>
        <v>A3_B2_C2</v>
      </c>
      <c r="H63" s="67"/>
      <c r="I63" s="67"/>
      <c r="J63" s="9"/>
      <c r="K63" s="9"/>
      <c r="L63" s="31"/>
      <c r="M63" s="31"/>
      <c r="N63" s="31"/>
      <c r="O63" s="31"/>
      <c r="P63" s="31"/>
      <c r="Q63" s="31"/>
      <c r="R63" s="129"/>
      <c r="S63" s="12"/>
    </row>
    <row r="64" spans="1:24">
      <c r="A64" s="67"/>
      <c r="B64" s="84" t="s">
        <v>12</v>
      </c>
      <c r="C64" s="84" t="s">
        <v>138</v>
      </c>
      <c r="D64" s="140" t="s">
        <v>142</v>
      </c>
      <c r="E64" s="64" t="s">
        <v>143</v>
      </c>
      <c r="F64" s="115">
        <f>IF(F30="","",F30)</f>
        <v>1012.5</v>
      </c>
      <c r="G64" s="158" t="str">
        <f t="shared" si="6"/>
        <v>A3_B3_C1</v>
      </c>
      <c r="H64" s="67"/>
      <c r="I64" s="67"/>
      <c r="J64" s="9"/>
      <c r="K64" s="9"/>
      <c r="L64" s="130"/>
      <c r="M64" s="130"/>
      <c r="N64" s="130"/>
      <c r="O64" s="130"/>
      <c r="P64" s="130"/>
      <c r="Q64" s="130"/>
      <c r="R64" s="130"/>
      <c r="S64" s="130"/>
      <c r="T64" s="130"/>
      <c r="U64" s="130"/>
      <c r="V64" s="130"/>
      <c r="W64" s="130"/>
      <c r="X64" s="130"/>
    </row>
    <row r="65" spans="1:24">
      <c r="A65" s="67"/>
      <c r="B65" s="84" t="s">
        <v>12</v>
      </c>
      <c r="C65" s="84" t="s">
        <v>138</v>
      </c>
      <c r="D65" s="140" t="s">
        <v>142</v>
      </c>
      <c r="E65" s="64" t="s">
        <v>144</v>
      </c>
      <c r="F65" s="115">
        <f>IF(F31="","",F31)</f>
        <v>1110</v>
      </c>
      <c r="G65" s="158" t="str">
        <f t="shared" si="6"/>
        <v>A3_B3_C2</v>
      </c>
      <c r="H65" s="67"/>
      <c r="I65" s="67"/>
      <c r="J65" s="9"/>
      <c r="K65" s="9"/>
      <c r="L65" s="130"/>
      <c r="M65" s="130"/>
      <c r="N65" s="130"/>
      <c r="O65" s="130"/>
      <c r="P65" s="130"/>
      <c r="Q65" s="130"/>
      <c r="R65" s="130"/>
      <c r="S65" s="130"/>
      <c r="T65" s="130"/>
      <c r="U65" s="130"/>
      <c r="V65" s="130"/>
      <c r="W65" s="130"/>
      <c r="X65" s="130"/>
    </row>
    <row r="66" spans="1:24">
      <c r="A66" s="67"/>
      <c r="B66" s="84" t="s">
        <v>12</v>
      </c>
      <c r="C66" s="84" t="s">
        <v>139</v>
      </c>
      <c r="D66" s="140" t="s">
        <v>140</v>
      </c>
      <c r="E66" s="64" t="s">
        <v>143</v>
      </c>
      <c r="F66" s="115">
        <f>IF(F32="","",F32)</f>
        <v>1142.5</v>
      </c>
      <c r="G66" s="158" t="str">
        <f t="shared" si="6"/>
        <v>A4_B1_C1</v>
      </c>
      <c r="H66" s="67"/>
      <c r="I66" s="67"/>
      <c r="J66" s="9"/>
      <c r="K66" s="9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</row>
    <row r="67" spans="1:24">
      <c r="A67" s="67"/>
      <c r="B67" s="84" t="s">
        <v>12</v>
      </c>
      <c r="C67" s="84" t="s">
        <v>139</v>
      </c>
      <c r="D67" s="140" t="s">
        <v>140</v>
      </c>
      <c r="E67" s="64" t="s">
        <v>144</v>
      </c>
      <c r="F67" s="115">
        <f>IF(F33="","",F33)</f>
        <v>1240</v>
      </c>
      <c r="G67" s="158" t="str">
        <f t="shared" si="6"/>
        <v>A4_B1_C2</v>
      </c>
      <c r="H67" s="67"/>
      <c r="I67" s="67"/>
      <c r="J67" s="9"/>
      <c r="K67" s="9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</row>
    <row r="68" spans="1:24">
      <c r="A68" s="67"/>
      <c r="B68" s="84" t="s">
        <v>12</v>
      </c>
      <c r="C68" s="84" t="s">
        <v>139</v>
      </c>
      <c r="D68" s="140" t="s">
        <v>141</v>
      </c>
      <c r="E68" s="67" t="s">
        <v>143</v>
      </c>
      <c r="F68" s="115">
        <f>IF(F34="","",F34)</f>
        <v>342</v>
      </c>
      <c r="G68" s="158" t="str">
        <f t="shared" si="6"/>
        <v>A4_B2_C1</v>
      </c>
      <c r="H68" s="67"/>
      <c r="I68" s="67"/>
      <c r="J68" s="9"/>
      <c r="K68" s="9"/>
      <c r="L68" s="130"/>
      <c r="M68" s="130"/>
      <c r="N68" s="130"/>
      <c r="O68" s="130"/>
      <c r="P68" s="130"/>
      <c r="Q68" s="130"/>
      <c r="R68" s="130"/>
      <c r="S68" s="130"/>
      <c r="T68" s="130"/>
      <c r="U68" s="130"/>
      <c r="V68" s="130"/>
      <c r="W68" s="130"/>
      <c r="X68" s="130"/>
    </row>
    <row r="69" spans="1:24">
      <c r="A69" s="106"/>
      <c r="B69" s="120" t="s">
        <v>12</v>
      </c>
      <c r="C69" s="120" t="s">
        <v>139</v>
      </c>
      <c r="D69" s="140" t="s">
        <v>141</v>
      </c>
      <c r="E69" s="106" t="s">
        <v>144</v>
      </c>
      <c r="F69" s="115">
        <f>IF(F35="","",F35)</f>
        <v>1370</v>
      </c>
      <c r="G69" s="158" t="str">
        <f t="shared" si="6"/>
        <v>A4_B2_C2</v>
      </c>
      <c r="H69" s="105"/>
      <c r="I69" s="67"/>
      <c r="J69" s="9"/>
      <c r="K69" s="9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</row>
    <row r="70" spans="1:24" s="132" customFormat="1">
      <c r="A70" s="68"/>
      <c r="B70" s="142" t="s">
        <v>12</v>
      </c>
      <c r="C70" s="142" t="s">
        <v>139</v>
      </c>
      <c r="D70" s="140" t="s">
        <v>142</v>
      </c>
      <c r="E70" s="138" t="s">
        <v>143</v>
      </c>
      <c r="F70" s="115">
        <f>IF(F36="","",F36)</f>
        <v>1402.5</v>
      </c>
      <c r="G70" s="158" t="str">
        <f t="shared" si="6"/>
        <v>A4_B3_C1</v>
      </c>
      <c r="H70" s="104"/>
      <c r="I70" s="67"/>
      <c r="J70" s="131"/>
      <c r="K70" s="33"/>
      <c r="L70" s="130"/>
      <c r="M70" s="130"/>
      <c r="N70" s="130"/>
      <c r="O70" s="130"/>
      <c r="P70" s="130"/>
      <c r="Q70" s="130"/>
      <c r="R70" s="130"/>
      <c r="S70" s="130"/>
      <c r="T70" s="130"/>
      <c r="U70" s="130"/>
      <c r="V70" s="130"/>
      <c r="W70" s="130"/>
      <c r="X70" s="130"/>
    </row>
    <row r="71" spans="1:24" s="132" customFormat="1">
      <c r="A71" s="68"/>
      <c r="B71" s="143" t="s">
        <v>12</v>
      </c>
      <c r="C71" s="143" t="s">
        <v>139</v>
      </c>
      <c r="D71" s="141" t="s">
        <v>142</v>
      </c>
      <c r="E71" s="136" t="s">
        <v>144</v>
      </c>
      <c r="F71" s="121">
        <f>IF(F37="","",F37)</f>
        <v>1500</v>
      </c>
      <c r="G71" s="160" t="str">
        <f t="shared" si="6"/>
        <v>A4_B3_C2</v>
      </c>
      <c r="H71" s="104"/>
      <c r="I71" s="67"/>
      <c r="J71" s="33"/>
      <c r="K71" s="33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</row>
    <row r="72" spans="1:24" s="132" customFormat="1">
      <c r="A72" s="68"/>
      <c r="B72" s="84" t="s">
        <v>13</v>
      </c>
      <c r="C72" s="84" t="s">
        <v>136</v>
      </c>
      <c r="D72" s="140" t="s">
        <v>140</v>
      </c>
      <c r="E72" s="64" t="s">
        <v>143</v>
      </c>
      <c r="F72" s="115" t="str">
        <f>IF(G14="","",G14)</f>
        <v/>
      </c>
      <c r="G72" s="159" t="str">
        <f t="shared" si="6"/>
        <v/>
      </c>
      <c r="H72" s="104"/>
      <c r="I72" s="67"/>
      <c r="J72" s="33"/>
      <c r="K72" s="33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</row>
    <row r="73" spans="1:24" s="133" customFormat="1">
      <c r="A73" s="137"/>
      <c r="B73" s="84" t="s">
        <v>13</v>
      </c>
      <c r="C73" s="84" t="s">
        <v>136</v>
      </c>
      <c r="D73" s="140" t="s">
        <v>140</v>
      </c>
      <c r="E73" s="64" t="s">
        <v>144</v>
      </c>
      <c r="F73" s="115" t="str">
        <f>IF(G15="","",G15)</f>
        <v/>
      </c>
      <c r="G73" s="158" t="str">
        <f t="shared" si="6"/>
        <v/>
      </c>
      <c r="H73" s="139"/>
      <c r="I73" s="137"/>
      <c r="J73" s="34"/>
      <c r="K73" s="34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</row>
    <row r="74" spans="1:24" s="133" customFormat="1">
      <c r="A74" s="137"/>
      <c r="B74" s="84" t="s">
        <v>13</v>
      </c>
      <c r="C74" s="84" t="s">
        <v>136</v>
      </c>
      <c r="D74" s="140" t="s">
        <v>141</v>
      </c>
      <c r="E74" s="64" t="s">
        <v>143</v>
      </c>
      <c r="F74" s="115" t="str">
        <f>IF(G16="","",G16)</f>
        <v/>
      </c>
      <c r="G74" s="158" t="str">
        <f t="shared" si="6"/>
        <v/>
      </c>
      <c r="H74" s="139"/>
      <c r="I74" s="137"/>
      <c r="J74" s="34"/>
      <c r="K74" s="34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</row>
    <row r="75" spans="1:24" s="133" customFormat="1">
      <c r="A75" s="137"/>
      <c r="B75" s="84" t="s">
        <v>13</v>
      </c>
      <c r="C75" s="84" t="s">
        <v>136</v>
      </c>
      <c r="D75" s="140" t="s">
        <v>141</v>
      </c>
      <c r="E75" s="64" t="s">
        <v>144</v>
      </c>
      <c r="F75" s="115" t="str">
        <f>IF(G17="","",G17)</f>
        <v/>
      </c>
      <c r="G75" s="158" t="str">
        <f t="shared" si="6"/>
        <v/>
      </c>
      <c r="H75" s="139"/>
      <c r="I75" s="137"/>
      <c r="J75" s="34"/>
      <c r="K75" s="34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</row>
    <row r="76" spans="1:24" s="132" customFormat="1">
      <c r="A76" s="67"/>
      <c r="B76" s="84" t="s">
        <v>13</v>
      </c>
      <c r="C76" s="84" t="s">
        <v>136</v>
      </c>
      <c r="D76" s="140" t="s">
        <v>142</v>
      </c>
      <c r="E76" s="64" t="s">
        <v>143</v>
      </c>
      <c r="F76" s="115" t="str">
        <f>IF(G18="","",G18)</f>
        <v/>
      </c>
      <c r="G76" s="158" t="str">
        <f t="shared" si="6"/>
        <v/>
      </c>
      <c r="H76" s="67"/>
      <c r="I76" s="67"/>
      <c r="J76" s="33"/>
      <c r="K76" s="33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</row>
    <row r="77" spans="1:24" s="132" customFormat="1">
      <c r="A77" s="67"/>
      <c r="B77" s="84" t="s">
        <v>13</v>
      </c>
      <c r="C77" s="84" t="s">
        <v>136</v>
      </c>
      <c r="D77" s="140" t="s">
        <v>142</v>
      </c>
      <c r="E77" s="64" t="s">
        <v>144</v>
      </c>
      <c r="F77" s="115" t="str">
        <f>IF(G19="","",G19)</f>
        <v/>
      </c>
      <c r="G77" s="158" t="str">
        <f t="shared" si="6"/>
        <v/>
      </c>
      <c r="H77" s="67"/>
      <c r="I77" s="67"/>
      <c r="J77" s="33"/>
      <c r="K77" s="33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</row>
    <row r="78" spans="1:24">
      <c r="A78" s="67"/>
      <c r="B78" s="84" t="s">
        <v>13</v>
      </c>
      <c r="C78" s="84" t="s">
        <v>137</v>
      </c>
      <c r="D78" s="140" t="s">
        <v>140</v>
      </c>
      <c r="E78" s="64" t="s">
        <v>143</v>
      </c>
      <c r="F78" s="115" t="str">
        <f>IF(G20="","",G20)</f>
        <v/>
      </c>
      <c r="G78" s="158" t="str">
        <f t="shared" si="6"/>
        <v/>
      </c>
      <c r="H78" s="67"/>
      <c r="I78" s="67"/>
      <c r="J78" s="9"/>
      <c r="K78" s="9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</row>
    <row r="79" spans="1:24">
      <c r="A79" s="9"/>
      <c r="B79" s="84" t="s">
        <v>13</v>
      </c>
      <c r="C79" s="84" t="s">
        <v>137</v>
      </c>
      <c r="D79" s="140" t="s">
        <v>140</v>
      </c>
      <c r="E79" s="64" t="s">
        <v>144</v>
      </c>
      <c r="F79" s="115" t="str">
        <f>IF(G21="","",G21)</f>
        <v/>
      </c>
      <c r="G79" s="158" t="str">
        <f t="shared" si="6"/>
        <v/>
      </c>
      <c r="H79" s="9"/>
      <c r="I79" s="9"/>
      <c r="J79" s="9"/>
      <c r="K79" s="9"/>
    </row>
    <row r="80" spans="1:24">
      <c r="A80" s="9"/>
      <c r="B80" s="84" t="s">
        <v>13</v>
      </c>
      <c r="C80" s="84" t="s">
        <v>137</v>
      </c>
      <c r="D80" s="140" t="s">
        <v>141</v>
      </c>
      <c r="E80" s="64" t="s">
        <v>143</v>
      </c>
      <c r="F80" s="115" t="str">
        <f>IF(G22="","",G22)</f>
        <v/>
      </c>
      <c r="G80" s="158" t="str">
        <f t="shared" si="6"/>
        <v/>
      </c>
      <c r="H80" s="9"/>
      <c r="I80" s="9"/>
      <c r="J80" s="9"/>
      <c r="K80" s="9"/>
    </row>
    <row r="81" spans="1:11">
      <c r="A81" s="9"/>
      <c r="B81" s="84" t="s">
        <v>13</v>
      </c>
      <c r="C81" s="84" t="s">
        <v>137</v>
      </c>
      <c r="D81" s="140" t="s">
        <v>141</v>
      </c>
      <c r="E81" s="64" t="s">
        <v>144</v>
      </c>
      <c r="F81" s="115" t="str">
        <f>IF(G23="","",G23)</f>
        <v/>
      </c>
      <c r="G81" s="158" t="str">
        <f t="shared" si="6"/>
        <v/>
      </c>
      <c r="H81" s="9"/>
      <c r="I81" s="9"/>
      <c r="J81" s="9"/>
      <c r="K81" s="9"/>
    </row>
    <row r="82" spans="1:11">
      <c r="A82" s="9"/>
      <c r="B82" s="84" t="s">
        <v>13</v>
      </c>
      <c r="C82" s="84" t="s">
        <v>137</v>
      </c>
      <c r="D82" s="140" t="s">
        <v>142</v>
      </c>
      <c r="E82" s="64" t="s">
        <v>143</v>
      </c>
      <c r="F82" s="115" t="str">
        <f>IF(G24="","",G24)</f>
        <v/>
      </c>
      <c r="G82" s="158" t="str">
        <f t="shared" si="6"/>
        <v/>
      </c>
      <c r="H82" s="9"/>
      <c r="I82" s="9"/>
      <c r="J82" s="9"/>
      <c r="K82" s="9"/>
    </row>
    <row r="83" spans="1:11">
      <c r="A83" s="9"/>
      <c r="B83" s="84" t="s">
        <v>13</v>
      </c>
      <c r="C83" s="84" t="s">
        <v>137</v>
      </c>
      <c r="D83" s="140" t="s">
        <v>142</v>
      </c>
      <c r="E83" s="64" t="s">
        <v>144</v>
      </c>
      <c r="F83" s="115" t="str">
        <f>IF(G25="","",G25)</f>
        <v/>
      </c>
      <c r="G83" s="158" t="str">
        <f t="shared" si="6"/>
        <v/>
      </c>
      <c r="H83" s="9"/>
      <c r="I83" s="9"/>
      <c r="J83" s="9"/>
      <c r="K83" s="9"/>
    </row>
    <row r="84" spans="1:11">
      <c r="A84" s="9"/>
      <c r="B84" s="84" t="s">
        <v>13</v>
      </c>
      <c r="C84" s="84" t="s">
        <v>138</v>
      </c>
      <c r="D84" s="140" t="s">
        <v>140</v>
      </c>
      <c r="E84" s="64" t="s">
        <v>143</v>
      </c>
      <c r="F84" s="115" t="str">
        <f>IF(G26="","",G26)</f>
        <v/>
      </c>
      <c r="G84" s="158" t="str">
        <f t="shared" si="6"/>
        <v/>
      </c>
      <c r="H84" s="9"/>
      <c r="I84" s="9"/>
      <c r="J84" s="9"/>
      <c r="K84" s="9"/>
    </row>
    <row r="85" spans="1:11">
      <c r="A85" s="9"/>
      <c r="B85" s="84" t="s">
        <v>13</v>
      </c>
      <c r="C85" s="84" t="s">
        <v>138</v>
      </c>
      <c r="D85" s="140" t="s">
        <v>140</v>
      </c>
      <c r="E85" s="64" t="s">
        <v>144</v>
      </c>
      <c r="F85" s="115" t="str">
        <f>IF(G27="","",G27)</f>
        <v/>
      </c>
      <c r="G85" s="158" t="str">
        <f t="shared" si="6"/>
        <v/>
      </c>
      <c r="H85" s="9"/>
      <c r="I85" s="9"/>
      <c r="J85" s="9"/>
      <c r="K85" s="9"/>
    </row>
    <row r="86" spans="1:11">
      <c r="A86" s="9"/>
      <c r="B86" s="84" t="s">
        <v>13</v>
      </c>
      <c r="C86" s="84" t="s">
        <v>138</v>
      </c>
      <c r="D86" s="140" t="s">
        <v>141</v>
      </c>
      <c r="E86" s="64" t="s">
        <v>143</v>
      </c>
      <c r="F86" s="115" t="str">
        <f>IF(G28="","",G28)</f>
        <v/>
      </c>
      <c r="G86" s="158" t="str">
        <f t="shared" si="6"/>
        <v/>
      </c>
      <c r="H86" s="9"/>
      <c r="I86" s="9"/>
      <c r="J86" s="9"/>
      <c r="K86" s="9"/>
    </row>
    <row r="87" spans="1:11">
      <c r="A87" s="9"/>
      <c r="B87" s="84" t="s">
        <v>13</v>
      </c>
      <c r="C87" s="84" t="s">
        <v>138</v>
      </c>
      <c r="D87" s="140" t="s">
        <v>141</v>
      </c>
      <c r="E87" s="64" t="s">
        <v>144</v>
      </c>
      <c r="F87" s="115" t="str">
        <f>IF(G29="","",G29)</f>
        <v/>
      </c>
      <c r="G87" s="158" t="str">
        <f t="shared" si="6"/>
        <v/>
      </c>
      <c r="H87" s="9"/>
      <c r="I87" s="9"/>
      <c r="J87" s="9"/>
      <c r="K87" s="9"/>
    </row>
    <row r="88" spans="1:11">
      <c r="A88" s="9"/>
      <c r="B88" s="84" t="s">
        <v>13</v>
      </c>
      <c r="C88" s="84" t="s">
        <v>138</v>
      </c>
      <c r="D88" s="140" t="s">
        <v>142</v>
      </c>
      <c r="E88" s="64" t="s">
        <v>143</v>
      </c>
      <c r="F88" s="115" t="str">
        <f>IF(G30="","",G30)</f>
        <v/>
      </c>
      <c r="G88" s="158" t="str">
        <f t="shared" si="6"/>
        <v/>
      </c>
      <c r="H88" s="9"/>
      <c r="I88" s="9"/>
      <c r="J88" s="9"/>
      <c r="K88" s="9"/>
    </row>
    <row r="89" spans="1:11">
      <c r="A89" s="9"/>
      <c r="B89" s="84" t="s">
        <v>13</v>
      </c>
      <c r="C89" s="84" t="s">
        <v>138</v>
      </c>
      <c r="D89" s="140" t="s">
        <v>142</v>
      </c>
      <c r="E89" s="64" t="s">
        <v>144</v>
      </c>
      <c r="F89" s="115" t="str">
        <f>IF(G31="","",G31)</f>
        <v/>
      </c>
      <c r="G89" s="158" t="str">
        <f t="shared" si="6"/>
        <v/>
      </c>
      <c r="H89" s="9"/>
      <c r="I89" s="9"/>
      <c r="J89" s="9"/>
      <c r="K89" s="9"/>
    </row>
    <row r="90" spans="1:11">
      <c r="A90" s="9"/>
      <c r="B90" s="84" t="s">
        <v>13</v>
      </c>
      <c r="C90" s="84" t="s">
        <v>139</v>
      </c>
      <c r="D90" s="140" t="s">
        <v>140</v>
      </c>
      <c r="E90" s="64" t="s">
        <v>143</v>
      </c>
      <c r="F90" s="115" t="str">
        <f>IF(G32="","",G32)</f>
        <v/>
      </c>
      <c r="G90" s="158" t="str">
        <f t="shared" si="6"/>
        <v/>
      </c>
      <c r="H90" s="9"/>
      <c r="I90" s="9"/>
      <c r="J90" s="9"/>
      <c r="K90" s="9"/>
    </row>
    <row r="91" spans="1:11">
      <c r="A91" s="9"/>
      <c r="B91" s="84" t="s">
        <v>13</v>
      </c>
      <c r="C91" s="84" t="s">
        <v>139</v>
      </c>
      <c r="D91" s="140" t="s">
        <v>140</v>
      </c>
      <c r="E91" s="64" t="s">
        <v>144</v>
      </c>
      <c r="F91" s="115" t="str">
        <f>IF(G33="","",G33)</f>
        <v/>
      </c>
      <c r="G91" s="158" t="str">
        <f t="shared" si="6"/>
        <v/>
      </c>
      <c r="H91" s="9"/>
      <c r="I91" s="9"/>
      <c r="J91" s="9"/>
      <c r="K91" s="9"/>
    </row>
    <row r="92" spans="1:11">
      <c r="A92" s="9"/>
      <c r="B92" s="84" t="s">
        <v>13</v>
      </c>
      <c r="C92" s="84" t="s">
        <v>139</v>
      </c>
      <c r="D92" s="140" t="s">
        <v>141</v>
      </c>
      <c r="E92" s="67" t="s">
        <v>143</v>
      </c>
      <c r="F92" s="115" t="str">
        <f>IF(G34="","",G34)</f>
        <v/>
      </c>
      <c r="G92" s="158" t="str">
        <f t="shared" si="6"/>
        <v/>
      </c>
      <c r="H92" s="9"/>
      <c r="I92" s="9"/>
      <c r="J92" s="9"/>
      <c r="K92" s="9"/>
    </row>
    <row r="93" spans="1:11">
      <c r="A93" s="9"/>
      <c r="B93" s="120" t="s">
        <v>13</v>
      </c>
      <c r="C93" s="120" t="s">
        <v>139</v>
      </c>
      <c r="D93" s="140" t="s">
        <v>141</v>
      </c>
      <c r="E93" s="106" t="s">
        <v>144</v>
      </c>
      <c r="F93" s="115" t="str">
        <f>IF(G35="","",G35)</f>
        <v/>
      </c>
      <c r="G93" s="158" t="str">
        <f t="shared" si="6"/>
        <v/>
      </c>
      <c r="H93" s="9"/>
      <c r="I93" s="9"/>
      <c r="J93" s="9"/>
      <c r="K93" s="9"/>
    </row>
    <row r="94" spans="1:11">
      <c r="A94" s="9"/>
      <c r="B94" s="142" t="s">
        <v>13</v>
      </c>
      <c r="C94" s="142" t="s">
        <v>139</v>
      </c>
      <c r="D94" s="140" t="s">
        <v>142</v>
      </c>
      <c r="E94" s="138" t="s">
        <v>143</v>
      </c>
      <c r="F94" s="115" t="str">
        <f>IF(G36="","",G36)</f>
        <v/>
      </c>
      <c r="G94" s="158" t="str">
        <f t="shared" si="6"/>
        <v/>
      </c>
      <c r="H94" s="9"/>
      <c r="I94" s="9"/>
      <c r="J94" s="9"/>
      <c r="K94" s="9"/>
    </row>
    <row r="95" spans="1:11">
      <c r="A95" s="9"/>
      <c r="B95" s="143" t="s">
        <v>13</v>
      </c>
      <c r="C95" s="143" t="s">
        <v>139</v>
      </c>
      <c r="D95" s="141" t="s">
        <v>142</v>
      </c>
      <c r="E95" s="136" t="s">
        <v>144</v>
      </c>
      <c r="F95" s="121" t="str">
        <f>IF(G37="","",G37)</f>
        <v/>
      </c>
      <c r="G95" s="160" t="str">
        <f t="shared" si="6"/>
        <v/>
      </c>
      <c r="H95" s="9"/>
      <c r="I95" s="9"/>
      <c r="J95" s="9"/>
      <c r="K95" s="9"/>
    </row>
    <row r="96" spans="1:11">
      <c r="A96" s="9"/>
      <c r="B96" s="84" t="s">
        <v>14</v>
      </c>
      <c r="C96" s="84" t="s">
        <v>136</v>
      </c>
      <c r="D96" s="140" t="s">
        <v>140</v>
      </c>
      <c r="E96" s="64" t="s">
        <v>143</v>
      </c>
      <c r="F96" s="112" t="str">
        <f>IF(H14="","",H14)</f>
        <v/>
      </c>
      <c r="G96" s="159" t="str">
        <f t="shared" si="6"/>
        <v/>
      </c>
      <c r="H96" s="9"/>
      <c r="I96" s="9"/>
      <c r="J96" s="9"/>
      <c r="K96" s="9"/>
    </row>
    <row r="97" spans="1:11">
      <c r="A97" s="9"/>
      <c r="B97" s="84" t="s">
        <v>14</v>
      </c>
      <c r="C97" s="84" t="s">
        <v>136</v>
      </c>
      <c r="D97" s="140" t="s">
        <v>140</v>
      </c>
      <c r="E97" s="64" t="s">
        <v>144</v>
      </c>
      <c r="F97" s="112" t="str">
        <f>IF(H15="","",H15)</f>
        <v/>
      </c>
      <c r="G97" s="158" t="str">
        <f t="shared" si="6"/>
        <v/>
      </c>
      <c r="H97" s="9"/>
      <c r="I97" s="9"/>
      <c r="J97" s="9"/>
      <c r="K97" s="9"/>
    </row>
    <row r="98" spans="1:11">
      <c r="A98" s="9"/>
      <c r="B98" s="84" t="s">
        <v>14</v>
      </c>
      <c r="C98" s="84" t="s">
        <v>136</v>
      </c>
      <c r="D98" s="140" t="s">
        <v>141</v>
      </c>
      <c r="E98" s="64" t="s">
        <v>143</v>
      </c>
      <c r="F98" s="112" t="str">
        <f>IF(H16="","",H16)</f>
        <v/>
      </c>
      <c r="G98" s="158" t="str">
        <f t="shared" si="6"/>
        <v/>
      </c>
      <c r="H98" s="9"/>
      <c r="I98" s="9"/>
      <c r="J98" s="9"/>
      <c r="K98" s="9"/>
    </row>
    <row r="99" spans="1:11">
      <c r="A99" s="9"/>
      <c r="B99" s="84" t="s">
        <v>14</v>
      </c>
      <c r="C99" s="84" t="s">
        <v>136</v>
      </c>
      <c r="D99" s="140" t="s">
        <v>141</v>
      </c>
      <c r="E99" s="64" t="s">
        <v>144</v>
      </c>
      <c r="F99" s="112" t="str">
        <f>IF(H17="","",H17)</f>
        <v/>
      </c>
      <c r="G99" s="158" t="str">
        <f t="shared" si="6"/>
        <v/>
      </c>
      <c r="H99" s="9"/>
      <c r="I99" s="9"/>
      <c r="J99" s="9"/>
      <c r="K99" s="9"/>
    </row>
    <row r="100" spans="1:11">
      <c r="A100" s="9"/>
      <c r="B100" s="84" t="s">
        <v>14</v>
      </c>
      <c r="C100" s="84" t="s">
        <v>136</v>
      </c>
      <c r="D100" s="140" t="s">
        <v>142</v>
      </c>
      <c r="E100" s="64" t="s">
        <v>143</v>
      </c>
      <c r="F100" s="112" t="str">
        <f>IF(H18="","",H18)</f>
        <v/>
      </c>
      <c r="G100" s="158" t="str">
        <f t="shared" si="6"/>
        <v/>
      </c>
      <c r="H100" s="9"/>
      <c r="I100" s="9"/>
      <c r="J100" s="9"/>
      <c r="K100" s="9"/>
    </row>
    <row r="101" spans="1:11">
      <c r="A101" s="9"/>
      <c r="B101" s="84" t="s">
        <v>14</v>
      </c>
      <c r="C101" s="84" t="s">
        <v>136</v>
      </c>
      <c r="D101" s="140" t="s">
        <v>142</v>
      </c>
      <c r="E101" s="64" t="s">
        <v>144</v>
      </c>
      <c r="F101" s="112" t="str">
        <f>IF(H19="","",H19)</f>
        <v/>
      </c>
      <c r="G101" s="158" t="str">
        <f t="shared" si="6"/>
        <v/>
      </c>
      <c r="H101" s="9"/>
      <c r="I101" s="9"/>
      <c r="J101" s="9"/>
      <c r="K101" s="9"/>
    </row>
    <row r="102" spans="1:11">
      <c r="A102" s="9"/>
      <c r="B102" s="84" t="s">
        <v>14</v>
      </c>
      <c r="C102" s="84" t="s">
        <v>137</v>
      </c>
      <c r="D102" s="140" t="s">
        <v>140</v>
      </c>
      <c r="E102" s="64" t="s">
        <v>143</v>
      </c>
      <c r="F102" s="112" t="str">
        <f>IF(H20="","",H20)</f>
        <v/>
      </c>
      <c r="G102" s="158" t="str">
        <f t="shared" si="6"/>
        <v/>
      </c>
      <c r="H102" s="9"/>
      <c r="I102" s="9"/>
      <c r="J102" s="9"/>
      <c r="K102" s="9"/>
    </row>
    <row r="103" spans="1:11">
      <c r="A103" s="9"/>
      <c r="B103" s="84" t="s">
        <v>14</v>
      </c>
      <c r="C103" s="84" t="s">
        <v>137</v>
      </c>
      <c r="D103" s="140" t="s">
        <v>140</v>
      </c>
      <c r="E103" s="64" t="s">
        <v>144</v>
      </c>
      <c r="F103" s="112" t="str">
        <f>IF(H21="","",H21)</f>
        <v/>
      </c>
      <c r="G103" s="158" t="str">
        <f t="shared" si="6"/>
        <v/>
      </c>
      <c r="H103" s="9"/>
      <c r="I103" s="9"/>
      <c r="J103" s="9"/>
      <c r="K103" s="9"/>
    </row>
    <row r="104" spans="1:11">
      <c r="A104" s="9"/>
      <c r="B104" s="84" t="s">
        <v>14</v>
      </c>
      <c r="C104" s="84" t="s">
        <v>137</v>
      </c>
      <c r="D104" s="140" t="s">
        <v>141</v>
      </c>
      <c r="E104" s="64" t="s">
        <v>143</v>
      </c>
      <c r="F104" s="112" t="str">
        <f>IF(H22="","",H22)</f>
        <v/>
      </c>
      <c r="G104" s="158" t="str">
        <f t="shared" si="6"/>
        <v/>
      </c>
      <c r="H104" s="9"/>
      <c r="I104" s="9"/>
      <c r="J104" s="9"/>
      <c r="K104" s="9"/>
    </row>
    <row r="105" spans="1:11">
      <c r="A105" s="9"/>
      <c r="B105" s="84" t="s">
        <v>14</v>
      </c>
      <c r="C105" s="84" t="s">
        <v>137</v>
      </c>
      <c r="D105" s="140" t="s">
        <v>141</v>
      </c>
      <c r="E105" s="64" t="s">
        <v>144</v>
      </c>
      <c r="F105" s="112" t="str">
        <f>IF(H23="","",H23)</f>
        <v/>
      </c>
      <c r="G105" s="158" t="str">
        <f t="shared" si="6"/>
        <v/>
      </c>
      <c r="H105" s="9"/>
      <c r="I105" s="9"/>
      <c r="J105" s="9"/>
      <c r="K105" s="9"/>
    </row>
    <row r="106" spans="1:11">
      <c r="A106" s="9"/>
      <c r="B106" s="84" t="s">
        <v>14</v>
      </c>
      <c r="C106" s="84" t="s">
        <v>137</v>
      </c>
      <c r="D106" s="140" t="s">
        <v>142</v>
      </c>
      <c r="E106" s="64" t="s">
        <v>143</v>
      </c>
      <c r="F106" s="112" t="str">
        <f>IF(H24="","",H24)</f>
        <v/>
      </c>
      <c r="G106" s="158" t="str">
        <f t="shared" si="6"/>
        <v/>
      </c>
      <c r="H106" s="9"/>
      <c r="I106" s="9"/>
      <c r="J106" s="9"/>
      <c r="K106" s="9"/>
    </row>
    <row r="107" spans="1:11">
      <c r="A107" s="9"/>
      <c r="B107" s="84" t="s">
        <v>14</v>
      </c>
      <c r="C107" s="84" t="s">
        <v>137</v>
      </c>
      <c r="D107" s="140" t="s">
        <v>142</v>
      </c>
      <c r="E107" s="64" t="s">
        <v>144</v>
      </c>
      <c r="F107" s="112" t="str">
        <f>IF(H25="","",H25)</f>
        <v/>
      </c>
      <c r="G107" s="158" t="str">
        <f t="shared" si="6"/>
        <v/>
      </c>
      <c r="H107" s="9"/>
      <c r="I107" s="9"/>
      <c r="J107" s="9"/>
      <c r="K107" s="9"/>
    </row>
    <row r="108" spans="1:11">
      <c r="A108" s="9"/>
      <c r="B108" s="84" t="s">
        <v>14</v>
      </c>
      <c r="C108" s="84" t="s">
        <v>138</v>
      </c>
      <c r="D108" s="140" t="s">
        <v>140</v>
      </c>
      <c r="E108" s="64" t="s">
        <v>143</v>
      </c>
      <c r="F108" s="112" t="str">
        <f>IF(H26="","",H26)</f>
        <v/>
      </c>
      <c r="G108" s="158" t="str">
        <f t="shared" si="6"/>
        <v/>
      </c>
      <c r="H108" s="9"/>
      <c r="I108" s="9"/>
      <c r="J108" s="9"/>
      <c r="K108" s="9"/>
    </row>
    <row r="109" spans="1:11">
      <c r="A109" s="9"/>
      <c r="B109" s="84" t="s">
        <v>14</v>
      </c>
      <c r="C109" s="84" t="s">
        <v>138</v>
      </c>
      <c r="D109" s="140" t="s">
        <v>140</v>
      </c>
      <c r="E109" s="64" t="s">
        <v>144</v>
      </c>
      <c r="F109" s="112" t="str">
        <f>IF(H27="","",H27)</f>
        <v/>
      </c>
      <c r="G109" s="158" t="str">
        <f t="shared" si="6"/>
        <v/>
      </c>
      <c r="H109" s="9"/>
      <c r="I109" s="9"/>
      <c r="J109" s="9"/>
      <c r="K109" s="9"/>
    </row>
    <row r="110" spans="1:11">
      <c r="A110" s="9"/>
      <c r="B110" s="84" t="s">
        <v>14</v>
      </c>
      <c r="C110" s="84" t="s">
        <v>138</v>
      </c>
      <c r="D110" s="140" t="s">
        <v>141</v>
      </c>
      <c r="E110" s="64" t="s">
        <v>143</v>
      </c>
      <c r="F110" s="112" t="str">
        <f>IF(H28="","",H28)</f>
        <v/>
      </c>
      <c r="G110" s="158" t="str">
        <f t="shared" si="6"/>
        <v/>
      </c>
      <c r="H110" s="9"/>
      <c r="I110" s="9"/>
      <c r="J110" s="9"/>
      <c r="K110" s="9"/>
    </row>
    <row r="111" spans="1:11">
      <c r="A111" s="9"/>
      <c r="B111" s="84" t="s">
        <v>14</v>
      </c>
      <c r="C111" s="84" t="s">
        <v>138</v>
      </c>
      <c r="D111" s="140" t="s">
        <v>141</v>
      </c>
      <c r="E111" s="64" t="s">
        <v>144</v>
      </c>
      <c r="F111" s="112" t="str">
        <f>IF(H29="","",H29)</f>
        <v/>
      </c>
      <c r="G111" s="158" t="str">
        <f t="shared" si="6"/>
        <v/>
      </c>
      <c r="H111" s="9"/>
      <c r="I111" s="9"/>
      <c r="J111" s="9"/>
      <c r="K111" s="9"/>
    </row>
    <row r="112" spans="1:11">
      <c r="B112" s="84" t="s">
        <v>14</v>
      </c>
      <c r="C112" s="84" t="s">
        <v>138</v>
      </c>
      <c r="D112" s="140" t="s">
        <v>142</v>
      </c>
      <c r="E112" s="64" t="s">
        <v>143</v>
      </c>
      <c r="F112" s="112" t="str">
        <f>IF(H30="","",H30)</f>
        <v/>
      </c>
      <c r="G112" s="158" t="str">
        <f t="shared" ref="G112:G167" si="7">IF(F112="","",CONCATENATE(C112,"_",D112,"_",E112))</f>
        <v/>
      </c>
    </row>
    <row r="113" spans="2:7">
      <c r="B113" s="84" t="s">
        <v>14</v>
      </c>
      <c r="C113" s="84" t="s">
        <v>138</v>
      </c>
      <c r="D113" s="140" t="s">
        <v>142</v>
      </c>
      <c r="E113" s="64" t="s">
        <v>144</v>
      </c>
      <c r="F113" s="112" t="str">
        <f>IF(H31="","",H31)</f>
        <v/>
      </c>
      <c r="G113" s="158" t="str">
        <f t="shared" si="7"/>
        <v/>
      </c>
    </row>
    <row r="114" spans="2:7">
      <c r="B114" s="84" t="s">
        <v>14</v>
      </c>
      <c r="C114" s="84" t="s">
        <v>139</v>
      </c>
      <c r="D114" s="140" t="s">
        <v>140</v>
      </c>
      <c r="E114" s="64" t="s">
        <v>143</v>
      </c>
      <c r="F114" s="112" t="str">
        <f>IF(H32="","",H32)</f>
        <v/>
      </c>
      <c r="G114" s="158" t="str">
        <f t="shared" si="7"/>
        <v/>
      </c>
    </row>
    <row r="115" spans="2:7">
      <c r="B115" s="84" t="s">
        <v>14</v>
      </c>
      <c r="C115" s="84" t="s">
        <v>139</v>
      </c>
      <c r="D115" s="140" t="s">
        <v>140</v>
      </c>
      <c r="E115" s="64" t="s">
        <v>144</v>
      </c>
      <c r="F115" s="112" t="str">
        <f>IF(H33="","",H33)</f>
        <v/>
      </c>
      <c r="G115" s="158" t="str">
        <f t="shared" si="7"/>
        <v/>
      </c>
    </row>
    <row r="116" spans="2:7">
      <c r="B116" s="84" t="s">
        <v>14</v>
      </c>
      <c r="C116" s="84" t="s">
        <v>139</v>
      </c>
      <c r="D116" s="140" t="s">
        <v>141</v>
      </c>
      <c r="E116" s="67" t="s">
        <v>143</v>
      </c>
      <c r="F116" s="112" t="str">
        <f>IF(H34="","",H34)</f>
        <v/>
      </c>
      <c r="G116" s="158" t="str">
        <f t="shared" si="7"/>
        <v/>
      </c>
    </row>
    <row r="117" spans="2:7">
      <c r="B117" s="120" t="s">
        <v>14</v>
      </c>
      <c r="C117" s="120" t="s">
        <v>139</v>
      </c>
      <c r="D117" s="140" t="s">
        <v>141</v>
      </c>
      <c r="E117" s="106" t="s">
        <v>144</v>
      </c>
      <c r="F117" s="112" t="str">
        <f>IF(H35="","",H35)</f>
        <v/>
      </c>
      <c r="G117" s="158" t="str">
        <f t="shared" si="7"/>
        <v/>
      </c>
    </row>
    <row r="118" spans="2:7">
      <c r="B118" s="142" t="s">
        <v>14</v>
      </c>
      <c r="C118" s="142" t="s">
        <v>139</v>
      </c>
      <c r="D118" s="140" t="s">
        <v>142</v>
      </c>
      <c r="E118" s="138" t="s">
        <v>143</v>
      </c>
      <c r="F118" s="112" t="str">
        <f>IF(H36="","",H36)</f>
        <v/>
      </c>
      <c r="G118" s="158" t="str">
        <f t="shared" si="7"/>
        <v/>
      </c>
    </row>
    <row r="119" spans="2:7">
      <c r="B119" s="143" t="s">
        <v>14</v>
      </c>
      <c r="C119" s="143" t="s">
        <v>139</v>
      </c>
      <c r="D119" s="141" t="s">
        <v>142</v>
      </c>
      <c r="E119" s="136" t="s">
        <v>144</v>
      </c>
      <c r="F119" s="113" t="str">
        <f>IF(H37="","",H37)</f>
        <v/>
      </c>
      <c r="G119" s="160" t="str">
        <f t="shared" si="7"/>
        <v/>
      </c>
    </row>
    <row r="120" spans="2:7">
      <c r="B120" s="84" t="s">
        <v>15</v>
      </c>
      <c r="C120" s="84" t="s">
        <v>136</v>
      </c>
      <c r="D120" s="140" t="s">
        <v>140</v>
      </c>
      <c r="E120" s="64" t="s">
        <v>143</v>
      </c>
      <c r="F120" s="112" t="str">
        <f>IF(I14="","",I14)</f>
        <v/>
      </c>
      <c r="G120" s="159" t="str">
        <f t="shared" si="7"/>
        <v/>
      </c>
    </row>
    <row r="121" spans="2:7">
      <c r="B121" s="84" t="s">
        <v>15</v>
      </c>
      <c r="C121" s="84" t="s">
        <v>136</v>
      </c>
      <c r="D121" s="140" t="s">
        <v>140</v>
      </c>
      <c r="E121" s="64" t="s">
        <v>144</v>
      </c>
      <c r="F121" s="112" t="str">
        <f>IF(I15="","",I15)</f>
        <v/>
      </c>
      <c r="G121" s="158" t="str">
        <f t="shared" si="7"/>
        <v/>
      </c>
    </row>
    <row r="122" spans="2:7">
      <c r="B122" s="84" t="s">
        <v>15</v>
      </c>
      <c r="C122" s="84" t="s">
        <v>136</v>
      </c>
      <c r="D122" s="140" t="s">
        <v>141</v>
      </c>
      <c r="E122" s="64" t="s">
        <v>143</v>
      </c>
      <c r="F122" s="112" t="str">
        <f>IF(I16="","",I16)</f>
        <v/>
      </c>
      <c r="G122" s="158" t="str">
        <f t="shared" si="7"/>
        <v/>
      </c>
    </row>
    <row r="123" spans="2:7">
      <c r="B123" s="84" t="s">
        <v>15</v>
      </c>
      <c r="C123" s="84" t="s">
        <v>136</v>
      </c>
      <c r="D123" s="140" t="s">
        <v>141</v>
      </c>
      <c r="E123" s="64" t="s">
        <v>144</v>
      </c>
      <c r="F123" s="112" t="str">
        <f>IF(I17="","",I17)</f>
        <v/>
      </c>
      <c r="G123" s="158" t="str">
        <f t="shared" si="7"/>
        <v/>
      </c>
    </row>
    <row r="124" spans="2:7">
      <c r="B124" s="84" t="s">
        <v>15</v>
      </c>
      <c r="C124" s="84" t="s">
        <v>136</v>
      </c>
      <c r="D124" s="140" t="s">
        <v>142</v>
      </c>
      <c r="E124" s="64" t="s">
        <v>143</v>
      </c>
      <c r="F124" s="112" t="str">
        <f>IF(I18="","",I18)</f>
        <v/>
      </c>
      <c r="G124" s="158" t="str">
        <f t="shared" si="7"/>
        <v/>
      </c>
    </row>
    <row r="125" spans="2:7">
      <c r="B125" s="84" t="s">
        <v>15</v>
      </c>
      <c r="C125" s="84" t="s">
        <v>136</v>
      </c>
      <c r="D125" s="140" t="s">
        <v>142</v>
      </c>
      <c r="E125" s="64" t="s">
        <v>144</v>
      </c>
      <c r="F125" s="112" t="str">
        <f>IF(I19="","",I19)</f>
        <v/>
      </c>
      <c r="G125" s="158" t="str">
        <f t="shared" si="7"/>
        <v/>
      </c>
    </row>
    <row r="126" spans="2:7">
      <c r="B126" s="84" t="s">
        <v>15</v>
      </c>
      <c r="C126" s="84" t="s">
        <v>137</v>
      </c>
      <c r="D126" s="140" t="s">
        <v>140</v>
      </c>
      <c r="E126" s="64" t="s">
        <v>143</v>
      </c>
      <c r="F126" s="112" t="str">
        <f>IF(I20="","",I20)</f>
        <v/>
      </c>
      <c r="G126" s="158" t="str">
        <f t="shared" si="7"/>
        <v/>
      </c>
    </row>
    <row r="127" spans="2:7">
      <c r="B127" s="84" t="s">
        <v>15</v>
      </c>
      <c r="C127" s="84" t="s">
        <v>137</v>
      </c>
      <c r="D127" s="140" t="s">
        <v>140</v>
      </c>
      <c r="E127" s="64" t="s">
        <v>144</v>
      </c>
      <c r="F127" s="112" t="str">
        <f>IF(I21="","",I21)</f>
        <v/>
      </c>
      <c r="G127" s="158" t="str">
        <f t="shared" si="7"/>
        <v/>
      </c>
    </row>
    <row r="128" spans="2:7">
      <c r="B128" s="84" t="s">
        <v>15</v>
      </c>
      <c r="C128" s="84" t="s">
        <v>137</v>
      </c>
      <c r="D128" s="140" t="s">
        <v>141</v>
      </c>
      <c r="E128" s="64" t="s">
        <v>143</v>
      </c>
      <c r="F128" s="112" t="str">
        <f>IF(I22="","",I22)</f>
        <v/>
      </c>
      <c r="G128" s="158" t="str">
        <f t="shared" si="7"/>
        <v/>
      </c>
    </row>
    <row r="129" spans="2:7">
      <c r="B129" s="84" t="s">
        <v>15</v>
      </c>
      <c r="C129" s="84" t="s">
        <v>137</v>
      </c>
      <c r="D129" s="140" t="s">
        <v>141</v>
      </c>
      <c r="E129" s="64" t="s">
        <v>144</v>
      </c>
      <c r="F129" s="112" t="str">
        <f>IF(I23="","",I23)</f>
        <v/>
      </c>
      <c r="G129" s="158" t="str">
        <f t="shared" si="7"/>
        <v/>
      </c>
    </row>
    <row r="130" spans="2:7">
      <c r="B130" s="84" t="s">
        <v>15</v>
      </c>
      <c r="C130" s="84" t="s">
        <v>137</v>
      </c>
      <c r="D130" s="140" t="s">
        <v>142</v>
      </c>
      <c r="E130" s="64" t="s">
        <v>143</v>
      </c>
      <c r="F130" s="112" t="str">
        <f>IF(I24="","",I24)</f>
        <v/>
      </c>
      <c r="G130" s="158" t="str">
        <f t="shared" si="7"/>
        <v/>
      </c>
    </row>
    <row r="131" spans="2:7">
      <c r="B131" s="84" t="s">
        <v>15</v>
      </c>
      <c r="C131" s="84" t="s">
        <v>137</v>
      </c>
      <c r="D131" s="140" t="s">
        <v>142</v>
      </c>
      <c r="E131" s="64" t="s">
        <v>144</v>
      </c>
      <c r="F131" s="112" t="str">
        <f>IF(I25="","",I25)</f>
        <v/>
      </c>
      <c r="G131" s="158" t="str">
        <f t="shared" si="7"/>
        <v/>
      </c>
    </row>
    <row r="132" spans="2:7">
      <c r="B132" s="84" t="s">
        <v>15</v>
      </c>
      <c r="C132" s="84" t="s">
        <v>138</v>
      </c>
      <c r="D132" s="140" t="s">
        <v>140</v>
      </c>
      <c r="E132" s="64" t="s">
        <v>143</v>
      </c>
      <c r="F132" s="112" t="str">
        <f>IF(I26="","",I26)</f>
        <v/>
      </c>
      <c r="G132" s="158" t="str">
        <f t="shared" si="7"/>
        <v/>
      </c>
    </row>
    <row r="133" spans="2:7">
      <c r="B133" s="84" t="s">
        <v>15</v>
      </c>
      <c r="C133" s="84" t="s">
        <v>138</v>
      </c>
      <c r="D133" s="140" t="s">
        <v>140</v>
      </c>
      <c r="E133" s="64" t="s">
        <v>144</v>
      </c>
      <c r="F133" s="112" t="str">
        <f>IF(I27="","",I27)</f>
        <v/>
      </c>
      <c r="G133" s="158" t="str">
        <f t="shared" si="7"/>
        <v/>
      </c>
    </row>
    <row r="134" spans="2:7">
      <c r="B134" s="84" t="s">
        <v>15</v>
      </c>
      <c r="C134" s="84" t="s">
        <v>138</v>
      </c>
      <c r="D134" s="140" t="s">
        <v>141</v>
      </c>
      <c r="E134" s="64" t="s">
        <v>143</v>
      </c>
      <c r="F134" s="112" t="str">
        <f>IF(I28="","",I28)</f>
        <v/>
      </c>
      <c r="G134" s="158" t="str">
        <f t="shared" si="7"/>
        <v/>
      </c>
    </row>
    <row r="135" spans="2:7">
      <c r="B135" s="84" t="s">
        <v>15</v>
      </c>
      <c r="C135" s="84" t="s">
        <v>138</v>
      </c>
      <c r="D135" s="140" t="s">
        <v>141</v>
      </c>
      <c r="E135" s="64" t="s">
        <v>144</v>
      </c>
      <c r="F135" s="112" t="str">
        <f>IF(I29="","",I29)</f>
        <v/>
      </c>
      <c r="G135" s="158" t="str">
        <f t="shared" si="7"/>
        <v/>
      </c>
    </row>
    <row r="136" spans="2:7">
      <c r="B136" s="84" t="s">
        <v>15</v>
      </c>
      <c r="C136" s="84" t="s">
        <v>138</v>
      </c>
      <c r="D136" s="140" t="s">
        <v>142</v>
      </c>
      <c r="E136" s="64" t="s">
        <v>143</v>
      </c>
      <c r="F136" s="112" t="str">
        <f>IF(I30="","",I30)</f>
        <v/>
      </c>
      <c r="G136" s="158" t="str">
        <f t="shared" si="7"/>
        <v/>
      </c>
    </row>
    <row r="137" spans="2:7">
      <c r="B137" s="84" t="s">
        <v>15</v>
      </c>
      <c r="C137" s="84" t="s">
        <v>138</v>
      </c>
      <c r="D137" s="140" t="s">
        <v>142</v>
      </c>
      <c r="E137" s="64" t="s">
        <v>144</v>
      </c>
      <c r="F137" s="112" t="str">
        <f>IF(I31="","",I31)</f>
        <v/>
      </c>
      <c r="G137" s="158" t="str">
        <f t="shared" si="7"/>
        <v/>
      </c>
    </row>
    <row r="138" spans="2:7">
      <c r="B138" s="84" t="s">
        <v>15</v>
      </c>
      <c r="C138" s="84" t="s">
        <v>139</v>
      </c>
      <c r="D138" s="140" t="s">
        <v>140</v>
      </c>
      <c r="E138" s="64" t="s">
        <v>143</v>
      </c>
      <c r="F138" s="112" t="str">
        <f>IF(I32="","",I32)</f>
        <v/>
      </c>
      <c r="G138" s="158" t="str">
        <f t="shared" si="7"/>
        <v/>
      </c>
    </row>
    <row r="139" spans="2:7">
      <c r="B139" s="84" t="s">
        <v>15</v>
      </c>
      <c r="C139" s="84" t="s">
        <v>139</v>
      </c>
      <c r="D139" s="140" t="s">
        <v>140</v>
      </c>
      <c r="E139" s="64" t="s">
        <v>144</v>
      </c>
      <c r="F139" s="112" t="str">
        <f>IF(I33="","",I33)</f>
        <v/>
      </c>
      <c r="G139" s="158" t="str">
        <f t="shared" si="7"/>
        <v/>
      </c>
    </row>
    <row r="140" spans="2:7">
      <c r="B140" s="84" t="s">
        <v>15</v>
      </c>
      <c r="C140" s="84" t="s">
        <v>139</v>
      </c>
      <c r="D140" s="140" t="s">
        <v>141</v>
      </c>
      <c r="E140" s="67" t="s">
        <v>143</v>
      </c>
      <c r="F140" s="112" t="str">
        <f>IF(I34="","",I34)</f>
        <v/>
      </c>
      <c r="G140" s="158" t="str">
        <f t="shared" si="7"/>
        <v/>
      </c>
    </row>
    <row r="141" spans="2:7">
      <c r="B141" s="120" t="s">
        <v>15</v>
      </c>
      <c r="C141" s="120" t="s">
        <v>139</v>
      </c>
      <c r="D141" s="140" t="s">
        <v>141</v>
      </c>
      <c r="E141" s="106" t="s">
        <v>144</v>
      </c>
      <c r="F141" s="112" t="str">
        <f>IF(I35="","",I35)</f>
        <v/>
      </c>
      <c r="G141" s="158" t="str">
        <f t="shared" si="7"/>
        <v/>
      </c>
    </row>
    <row r="142" spans="2:7">
      <c r="B142" s="142" t="s">
        <v>15</v>
      </c>
      <c r="C142" s="142" t="s">
        <v>139</v>
      </c>
      <c r="D142" s="140" t="s">
        <v>142</v>
      </c>
      <c r="E142" s="138" t="s">
        <v>143</v>
      </c>
      <c r="F142" s="112" t="str">
        <f>IF(I36="","",I36)</f>
        <v/>
      </c>
      <c r="G142" s="158" t="str">
        <f t="shared" si="7"/>
        <v/>
      </c>
    </row>
    <row r="143" spans="2:7">
      <c r="B143" s="143" t="s">
        <v>15</v>
      </c>
      <c r="C143" s="143" t="s">
        <v>139</v>
      </c>
      <c r="D143" s="141" t="s">
        <v>142</v>
      </c>
      <c r="E143" s="136" t="s">
        <v>144</v>
      </c>
      <c r="F143" s="113" t="str">
        <f>IF(I37="","",I37)</f>
        <v/>
      </c>
      <c r="G143" s="160" t="str">
        <f t="shared" si="7"/>
        <v/>
      </c>
    </row>
    <row r="144" spans="2:7">
      <c r="B144" s="84" t="s">
        <v>16</v>
      </c>
      <c r="C144" s="84" t="s">
        <v>136</v>
      </c>
      <c r="D144" s="140" t="s">
        <v>140</v>
      </c>
      <c r="E144" s="64" t="s">
        <v>143</v>
      </c>
      <c r="F144" s="112" t="str">
        <f>IF(J14="","",J14)</f>
        <v/>
      </c>
      <c r="G144" s="159" t="str">
        <f t="shared" si="7"/>
        <v/>
      </c>
    </row>
    <row r="145" spans="2:7">
      <c r="B145" s="84" t="s">
        <v>16</v>
      </c>
      <c r="C145" s="84" t="s">
        <v>136</v>
      </c>
      <c r="D145" s="140" t="s">
        <v>140</v>
      </c>
      <c r="E145" s="64" t="s">
        <v>144</v>
      </c>
      <c r="F145" s="112" t="str">
        <f>IF(J15="","",J15)</f>
        <v/>
      </c>
      <c r="G145" s="158" t="str">
        <f t="shared" si="7"/>
        <v/>
      </c>
    </row>
    <row r="146" spans="2:7">
      <c r="B146" s="84" t="s">
        <v>16</v>
      </c>
      <c r="C146" s="84" t="s">
        <v>136</v>
      </c>
      <c r="D146" s="140" t="s">
        <v>141</v>
      </c>
      <c r="E146" s="64" t="s">
        <v>143</v>
      </c>
      <c r="F146" s="112" t="str">
        <f>IF(J16="","",J16)</f>
        <v/>
      </c>
      <c r="G146" s="158" t="str">
        <f t="shared" si="7"/>
        <v/>
      </c>
    </row>
    <row r="147" spans="2:7">
      <c r="B147" s="84" t="s">
        <v>16</v>
      </c>
      <c r="C147" s="84" t="s">
        <v>136</v>
      </c>
      <c r="D147" s="140" t="s">
        <v>141</v>
      </c>
      <c r="E147" s="64" t="s">
        <v>144</v>
      </c>
      <c r="F147" s="112" t="str">
        <f>IF(J17="","",J17)</f>
        <v/>
      </c>
      <c r="G147" s="158" t="str">
        <f t="shared" si="7"/>
        <v/>
      </c>
    </row>
    <row r="148" spans="2:7">
      <c r="B148" s="84" t="s">
        <v>16</v>
      </c>
      <c r="C148" s="84" t="s">
        <v>136</v>
      </c>
      <c r="D148" s="140" t="s">
        <v>142</v>
      </c>
      <c r="E148" s="64" t="s">
        <v>143</v>
      </c>
      <c r="F148" s="112" t="str">
        <f>IF(J18="","",J18)</f>
        <v/>
      </c>
      <c r="G148" s="158" t="str">
        <f t="shared" si="7"/>
        <v/>
      </c>
    </row>
    <row r="149" spans="2:7">
      <c r="B149" s="84" t="s">
        <v>16</v>
      </c>
      <c r="C149" s="84" t="s">
        <v>136</v>
      </c>
      <c r="D149" s="140" t="s">
        <v>142</v>
      </c>
      <c r="E149" s="64" t="s">
        <v>144</v>
      </c>
      <c r="F149" s="112" t="str">
        <f>IF(J19="","",J19)</f>
        <v/>
      </c>
      <c r="G149" s="158" t="str">
        <f t="shared" si="7"/>
        <v/>
      </c>
    </row>
    <row r="150" spans="2:7">
      <c r="B150" s="84" t="s">
        <v>16</v>
      </c>
      <c r="C150" s="84" t="s">
        <v>137</v>
      </c>
      <c r="D150" s="140" t="s">
        <v>140</v>
      </c>
      <c r="E150" s="64" t="s">
        <v>143</v>
      </c>
      <c r="F150" s="112" t="str">
        <f>IF(J20="","",J20)</f>
        <v/>
      </c>
      <c r="G150" s="158" t="str">
        <f t="shared" si="7"/>
        <v/>
      </c>
    </row>
    <row r="151" spans="2:7">
      <c r="B151" s="84" t="s">
        <v>16</v>
      </c>
      <c r="C151" s="84" t="s">
        <v>137</v>
      </c>
      <c r="D151" s="140" t="s">
        <v>140</v>
      </c>
      <c r="E151" s="64" t="s">
        <v>144</v>
      </c>
      <c r="F151" s="112" t="str">
        <f>IF(J21="","",J21)</f>
        <v/>
      </c>
      <c r="G151" s="158" t="str">
        <f t="shared" si="7"/>
        <v/>
      </c>
    </row>
    <row r="152" spans="2:7">
      <c r="B152" s="84" t="s">
        <v>16</v>
      </c>
      <c r="C152" s="84" t="s">
        <v>137</v>
      </c>
      <c r="D152" s="140" t="s">
        <v>141</v>
      </c>
      <c r="E152" s="64" t="s">
        <v>143</v>
      </c>
      <c r="F152" s="112" t="str">
        <f>IF(J22="","",J22)</f>
        <v/>
      </c>
      <c r="G152" s="158" t="str">
        <f t="shared" si="7"/>
        <v/>
      </c>
    </row>
    <row r="153" spans="2:7">
      <c r="B153" s="84" t="s">
        <v>16</v>
      </c>
      <c r="C153" s="84" t="s">
        <v>137</v>
      </c>
      <c r="D153" s="140" t="s">
        <v>141</v>
      </c>
      <c r="E153" s="64" t="s">
        <v>144</v>
      </c>
      <c r="F153" s="112" t="str">
        <f>IF(J23="","",J23)</f>
        <v/>
      </c>
      <c r="G153" s="158" t="str">
        <f t="shared" si="7"/>
        <v/>
      </c>
    </row>
    <row r="154" spans="2:7">
      <c r="B154" s="84" t="s">
        <v>16</v>
      </c>
      <c r="C154" s="84" t="s">
        <v>137</v>
      </c>
      <c r="D154" s="140" t="s">
        <v>142</v>
      </c>
      <c r="E154" s="64" t="s">
        <v>143</v>
      </c>
      <c r="F154" s="112" t="str">
        <f>IF(J24="","",J24)</f>
        <v/>
      </c>
      <c r="G154" s="158" t="str">
        <f t="shared" si="7"/>
        <v/>
      </c>
    </row>
    <row r="155" spans="2:7">
      <c r="B155" s="84" t="s">
        <v>16</v>
      </c>
      <c r="C155" s="84" t="s">
        <v>137</v>
      </c>
      <c r="D155" s="140" t="s">
        <v>142</v>
      </c>
      <c r="E155" s="64" t="s">
        <v>144</v>
      </c>
      <c r="F155" s="112" t="str">
        <f>IF(J25="","",J25)</f>
        <v/>
      </c>
      <c r="G155" s="158" t="str">
        <f t="shared" si="7"/>
        <v/>
      </c>
    </row>
    <row r="156" spans="2:7">
      <c r="B156" s="84" t="s">
        <v>16</v>
      </c>
      <c r="C156" s="84" t="s">
        <v>138</v>
      </c>
      <c r="D156" s="140" t="s">
        <v>140</v>
      </c>
      <c r="E156" s="64" t="s">
        <v>143</v>
      </c>
      <c r="F156" s="112" t="str">
        <f>IF(J26="","",J26)</f>
        <v/>
      </c>
      <c r="G156" s="158" t="str">
        <f t="shared" si="7"/>
        <v/>
      </c>
    </row>
    <row r="157" spans="2:7">
      <c r="B157" s="84" t="s">
        <v>16</v>
      </c>
      <c r="C157" s="84" t="s">
        <v>138</v>
      </c>
      <c r="D157" s="140" t="s">
        <v>140</v>
      </c>
      <c r="E157" s="64" t="s">
        <v>144</v>
      </c>
      <c r="F157" s="112" t="str">
        <f>IF(J27="","",J27)</f>
        <v/>
      </c>
      <c r="G157" s="158" t="str">
        <f t="shared" si="7"/>
        <v/>
      </c>
    </row>
    <row r="158" spans="2:7">
      <c r="B158" s="84" t="s">
        <v>16</v>
      </c>
      <c r="C158" s="84" t="s">
        <v>138</v>
      </c>
      <c r="D158" s="140" t="s">
        <v>141</v>
      </c>
      <c r="E158" s="64" t="s">
        <v>143</v>
      </c>
      <c r="F158" s="112" t="str">
        <f>IF(J28="","",J28)</f>
        <v/>
      </c>
      <c r="G158" s="158" t="str">
        <f t="shared" si="7"/>
        <v/>
      </c>
    </row>
    <row r="159" spans="2:7">
      <c r="B159" s="84" t="s">
        <v>16</v>
      </c>
      <c r="C159" s="84" t="s">
        <v>138</v>
      </c>
      <c r="D159" s="140" t="s">
        <v>141</v>
      </c>
      <c r="E159" s="64" t="s">
        <v>144</v>
      </c>
      <c r="F159" s="112" t="str">
        <f>IF(J29="","",J29)</f>
        <v/>
      </c>
      <c r="G159" s="158" t="str">
        <f t="shared" si="7"/>
        <v/>
      </c>
    </row>
    <row r="160" spans="2:7">
      <c r="B160" s="84" t="s">
        <v>16</v>
      </c>
      <c r="C160" s="84" t="s">
        <v>138</v>
      </c>
      <c r="D160" s="140" t="s">
        <v>142</v>
      </c>
      <c r="E160" s="64" t="s">
        <v>143</v>
      </c>
      <c r="F160" s="112" t="str">
        <f>IF(J30="","",J30)</f>
        <v/>
      </c>
      <c r="G160" s="158" t="str">
        <f t="shared" si="7"/>
        <v/>
      </c>
    </row>
    <row r="161" spans="1:9">
      <c r="B161" s="84" t="s">
        <v>16</v>
      </c>
      <c r="C161" s="84" t="s">
        <v>138</v>
      </c>
      <c r="D161" s="140" t="s">
        <v>142</v>
      </c>
      <c r="E161" s="64" t="s">
        <v>144</v>
      </c>
      <c r="F161" s="112" t="str">
        <f>IF(J31="","",J31)</f>
        <v/>
      </c>
      <c r="G161" s="158" t="str">
        <f t="shared" si="7"/>
        <v/>
      </c>
    </row>
    <row r="162" spans="1:9">
      <c r="B162" s="84" t="s">
        <v>16</v>
      </c>
      <c r="C162" s="84" t="s">
        <v>139</v>
      </c>
      <c r="D162" s="140" t="s">
        <v>140</v>
      </c>
      <c r="E162" s="64" t="s">
        <v>143</v>
      </c>
      <c r="F162" s="112" t="str">
        <f>IF(J32="","",J32)</f>
        <v/>
      </c>
      <c r="G162" s="158" t="str">
        <f t="shared" si="7"/>
        <v/>
      </c>
    </row>
    <row r="163" spans="1:9">
      <c r="B163" s="84" t="s">
        <v>16</v>
      </c>
      <c r="C163" s="84" t="s">
        <v>139</v>
      </c>
      <c r="D163" s="140" t="s">
        <v>140</v>
      </c>
      <c r="E163" s="64" t="s">
        <v>144</v>
      </c>
      <c r="F163" s="112" t="str">
        <f>IF(J33="","",J33)</f>
        <v/>
      </c>
      <c r="G163" s="158" t="str">
        <f t="shared" si="7"/>
        <v/>
      </c>
    </row>
    <row r="164" spans="1:9">
      <c r="B164" s="84" t="s">
        <v>16</v>
      </c>
      <c r="C164" s="84" t="s">
        <v>139</v>
      </c>
      <c r="D164" s="140" t="s">
        <v>141</v>
      </c>
      <c r="E164" s="67" t="s">
        <v>143</v>
      </c>
      <c r="F164" s="112" t="str">
        <f>IF(J34="","",J34)</f>
        <v/>
      </c>
      <c r="G164" s="158" t="str">
        <f t="shared" si="7"/>
        <v/>
      </c>
    </row>
    <row r="165" spans="1:9">
      <c r="B165" s="120" t="s">
        <v>16</v>
      </c>
      <c r="C165" s="120" t="s">
        <v>139</v>
      </c>
      <c r="D165" s="140" t="s">
        <v>141</v>
      </c>
      <c r="E165" s="106" t="s">
        <v>144</v>
      </c>
      <c r="F165" s="112" t="str">
        <f>IF(J35="","",J35)</f>
        <v/>
      </c>
      <c r="G165" s="158" t="str">
        <f t="shared" si="7"/>
        <v/>
      </c>
    </row>
    <row r="166" spans="1:9">
      <c r="B166" s="142" t="s">
        <v>16</v>
      </c>
      <c r="C166" s="142" t="s">
        <v>139</v>
      </c>
      <c r="D166" s="140" t="s">
        <v>142</v>
      </c>
      <c r="E166" s="138" t="s">
        <v>143</v>
      </c>
      <c r="F166" s="112" t="str">
        <f>IF(J36="","",J36)</f>
        <v/>
      </c>
      <c r="G166" s="158" t="str">
        <f t="shared" si="7"/>
        <v/>
      </c>
    </row>
    <row r="167" spans="1:9">
      <c r="B167" s="143" t="s">
        <v>16</v>
      </c>
      <c r="C167" s="143" t="s">
        <v>139</v>
      </c>
      <c r="D167" s="141" t="s">
        <v>142</v>
      </c>
      <c r="E167" s="136" t="s">
        <v>144</v>
      </c>
      <c r="F167" s="113" t="str">
        <f>IF(J37="","",J37)</f>
        <v/>
      </c>
      <c r="G167" s="160" t="str">
        <f t="shared" si="7"/>
        <v/>
      </c>
    </row>
    <row r="170" spans="1:9" ht="14.4">
      <c r="A170" s="167" t="s">
        <v>161</v>
      </c>
      <c r="B170" s="168"/>
      <c r="C170" s="168"/>
      <c r="D170" s="168"/>
      <c r="E170" s="168"/>
      <c r="F170" s="168"/>
      <c r="G170" s="168"/>
      <c r="H170" s="168"/>
      <c r="I170" s="168"/>
    </row>
    <row r="172" spans="1:9">
      <c r="B172" s="144" t="s">
        <v>162</v>
      </c>
    </row>
    <row r="173" spans="1:9">
      <c r="B173" s="144"/>
      <c r="C173" s="144" t="s">
        <v>163</v>
      </c>
    </row>
    <row r="175" spans="1:9" ht="15.6">
      <c r="B175" s="12" t="s">
        <v>164</v>
      </c>
      <c r="D175" s="169"/>
      <c r="E175" s="169"/>
    </row>
    <row r="176" spans="1:9" ht="15.6">
      <c r="B176" s="144" t="s">
        <v>165</v>
      </c>
      <c r="D176" s="169"/>
      <c r="E176" s="169"/>
    </row>
    <row r="177" spans="2:9" ht="15.6">
      <c r="B177" s="144"/>
      <c r="C177" s="170" t="s">
        <v>171</v>
      </c>
      <c r="D177" s="171"/>
      <c r="E177" s="171"/>
      <c r="F177" s="168"/>
      <c r="G177" s="168"/>
      <c r="H177" s="168"/>
      <c r="I177" s="168"/>
    </row>
    <row r="178" spans="2:9" ht="15.6">
      <c r="B178" s="144"/>
      <c r="C178" s="170" t="s">
        <v>172</v>
      </c>
      <c r="D178" s="171"/>
      <c r="E178" s="171"/>
      <c r="F178" s="168"/>
      <c r="G178" s="168"/>
      <c r="H178" s="168"/>
      <c r="I178" s="168"/>
    </row>
    <row r="179" spans="2:9" ht="15.6">
      <c r="B179" s="144"/>
      <c r="C179" s="170" t="s">
        <v>173</v>
      </c>
      <c r="D179" s="171"/>
      <c r="E179" s="171"/>
      <c r="F179" s="168"/>
      <c r="G179" s="168"/>
      <c r="H179" s="168"/>
      <c r="I179" s="168"/>
    </row>
    <row r="180" spans="2:9" ht="15.6">
      <c r="B180" s="144"/>
      <c r="D180" s="169"/>
      <c r="E180" s="169"/>
    </row>
    <row r="181" spans="2:9">
      <c r="B181" s="144" t="s">
        <v>166</v>
      </c>
    </row>
    <row r="182" spans="2:9">
      <c r="B182" s="144" t="s">
        <v>167</v>
      </c>
    </row>
    <row r="183" spans="2:9" ht="13.8">
      <c r="B183" s="144"/>
      <c r="C183" s="170" t="s">
        <v>168</v>
      </c>
      <c r="D183" s="170"/>
      <c r="E183" s="170"/>
      <c r="F183" s="170"/>
      <c r="G183" s="168"/>
      <c r="H183" s="168"/>
      <c r="I183" s="168"/>
    </row>
    <row r="184" spans="2:9" ht="13.8">
      <c r="B184" s="144"/>
      <c r="C184" s="170" t="s">
        <v>169</v>
      </c>
      <c r="D184" s="168"/>
      <c r="E184" s="168"/>
      <c r="F184" s="168"/>
      <c r="G184" s="168"/>
      <c r="H184" s="168"/>
      <c r="I184" s="168"/>
    </row>
    <row r="185" spans="2:9">
      <c r="B185" s="144"/>
    </row>
    <row r="186" spans="2:9">
      <c r="B186" s="144" t="s">
        <v>170</v>
      </c>
    </row>
    <row r="187" spans="2:9">
      <c r="B187" s="144"/>
      <c r="C187" s="144" t="s">
        <v>186</v>
      </c>
    </row>
    <row r="188" spans="2:9">
      <c r="B188" s="144"/>
      <c r="C188" s="185" t="s">
        <v>187</v>
      </c>
    </row>
    <row r="189" spans="2:9">
      <c r="B189" s="144"/>
      <c r="C189" s="144" t="s">
        <v>188</v>
      </c>
    </row>
    <row r="190" spans="2:9">
      <c r="B190" s="144"/>
      <c r="C190" s="185" t="s">
        <v>189</v>
      </c>
    </row>
    <row r="191" spans="2:9">
      <c r="B191" s="144"/>
      <c r="C191" s="144" t="s">
        <v>190</v>
      </c>
    </row>
    <row r="192" spans="2:9">
      <c r="B192" s="144"/>
      <c r="C192" s="144" t="s">
        <v>191</v>
      </c>
    </row>
    <row r="193" spans="1:9">
      <c r="B193" s="144"/>
      <c r="C193" s="144"/>
    </row>
    <row r="194" spans="1:9">
      <c r="B194" s="144"/>
      <c r="C194" s="144" t="s">
        <v>192</v>
      </c>
    </row>
    <row r="195" spans="1:9" ht="13.8">
      <c r="C195" s="170" t="s">
        <v>174</v>
      </c>
      <c r="D195" s="168"/>
      <c r="E195" s="168"/>
      <c r="F195" s="168"/>
      <c r="G195" s="168"/>
      <c r="H195" s="168"/>
      <c r="I195" s="168"/>
    </row>
    <row r="196" spans="1:9" ht="13.8">
      <c r="C196" s="170" t="s">
        <v>172</v>
      </c>
      <c r="D196" s="168"/>
      <c r="E196" s="168"/>
      <c r="F196" s="168"/>
      <c r="G196" s="168"/>
      <c r="H196" s="168"/>
      <c r="I196" s="168"/>
    </row>
    <row r="197" spans="1:9" ht="13.8">
      <c r="C197" s="170" t="s">
        <v>173</v>
      </c>
      <c r="D197" s="168"/>
      <c r="E197" s="168"/>
      <c r="F197" s="168"/>
      <c r="G197" s="168"/>
      <c r="H197" s="168"/>
      <c r="I197" s="168"/>
    </row>
    <row r="198" spans="1:9" ht="15.6">
      <c r="A198" s="169"/>
      <c r="D198" s="169"/>
      <c r="E198" s="169"/>
      <c r="F198" s="169"/>
      <c r="G198" s="169"/>
      <c r="H198" s="169"/>
    </row>
    <row r="199" spans="1:9" ht="15.6">
      <c r="A199" s="169"/>
      <c r="C199" s="144" t="s">
        <v>193</v>
      </c>
      <c r="D199" s="169"/>
      <c r="E199" s="169"/>
      <c r="F199" s="169"/>
      <c r="G199" s="169"/>
      <c r="H199" s="169"/>
    </row>
    <row r="200" spans="1:9" ht="15.6">
      <c r="A200" s="169"/>
      <c r="C200" s="170" t="s">
        <v>194</v>
      </c>
      <c r="D200" s="171"/>
      <c r="E200" s="171"/>
      <c r="F200" s="171"/>
      <c r="G200" s="171"/>
      <c r="H200" s="171"/>
      <c r="I200" s="168"/>
    </row>
    <row r="201" spans="1:9" ht="15.6">
      <c r="A201" s="169"/>
      <c r="C201" s="170" t="s">
        <v>168</v>
      </c>
      <c r="D201" s="171"/>
      <c r="E201" s="171"/>
      <c r="F201" s="171"/>
      <c r="G201" s="171"/>
      <c r="H201" s="171"/>
      <c r="I201" s="168"/>
    </row>
    <row r="202" spans="1:9" ht="15.6">
      <c r="A202" s="169"/>
      <c r="C202" s="170" t="s">
        <v>196</v>
      </c>
      <c r="D202" s="171"/>
      <c r="E202" s="171"/>
      <c r="F202" s="171"/>
      <c r="G202" s="171"/>
      <c r="H202" s="171"/>
      <c r="I202" s="168"/>
    </row>
    <row r="203" spans="1:9" ht="15.6">
      <c r="A203" s="169"/>
      <c r="C203" s="170" t="s">
        <v>172</v>
      </c>
      <c r="D203" s="171"/>
      <c r="E203" s="171"/>
      <c r="F203" s="171"/>
      <c r="G203" s="171"/>
      <c r="H203" s="171"/>
      <c r="I203" s="168"/>
    </row>
    <row r="204" spans="1:9" ht="15.6">
      <c r="A204" s="169"/>
      <c r="C204" s="170" t="s">
        <v>197</v>
      </c>
      <c r="D204" s="171"/>
      <c r="E204" s="171"/>
      <c r="F204" s="171"/>
      <c r="G204" s="171"/>
      <c r="H204" s="171"/>
      <c r="I204" s="168"/>
    </row>
    <row r="205" spans="1:9" ht="15.6">
      <c r="A205" s="169"/>
      <c r="D205" s="169"/>
      <c r="E205" s="169"/>
      <c r="F205" s="169"/>
      <c r="G205" s="169"/>
      <c r="H205" s="169"/>
    </row>
    <row r="206" spans="1:9" ht="15.6">
      <c r="A206" s="169"/>
      <c r="D206" s="169"/>
      <c r="E206" s="169"/>
      <c r="F206" s="169"/>
      <c r="G206" s="169"/>
      <c r="H206" s="169"/>
    </row>
    <row r="207" spans="1:9" ht="15.6">
      <c r="A207" s="169"/>
      <c r="B207" s="144" t="s">
        <v>201</v>
      </c>
      <c r="D207" s="169"/>
      <c r="E207" s="169"/>
      <c r="F207" s="169"/>
      <c r="G207" s="169"/>
      <c r="H207" s="169"/>
    </row>
    <row r="208" spans="1:9" ht="15.6">
      <c r="A208" s="169"/>
      <c r="C208" s="170" t="s">
        <v>198</v>
      </c>
      <c r="D208" s="171"/>
      <c r="E208" s="171"/>
      <c r="F208" s="171"/>
      <c r="G208" s="171"/>
      <c r="H208" s="171"/>
      <c r="I208" s="168"/>
    </row>
    <row r="209" spans="1:9" ht="15.6">
      <c r="A209" s="169"/>
      <c r="B209" s="169"/>
      <c r="C209" s="170" t="s">
        <v>199</v>
      </c>
      <c r="D209" s="171"/>
      <c r="E209" s="171"/>
      <c r="F209" s="171"/>
      <c r="G209" s="171"/>
      <c r="H209" s="171"/>
      <c r="I209" s="168"/>
    </row>
    <row r="210" spans="1:9" ht="13.8">
      <c r="C210" s="170" t="s">
        <v>200</v>
      </c>
      <c r="D210" s="168"/>
      <c r="E210" s="168"/>
      <c r="F210" s="168"/>
      <c r="G210" s="168"/>
      <c r="H210" s="168"/>
      <c r="I210" s="168"/>
    </row>
    <row r="214" spans="1:9">
      <c r="A214" s="186" t="s">
        <v>212</v>
      </c>
    </row>
  </sheetData>
  <sheetProtection sheet="1" objects="1" scenarios="1" formatCells="0"/>
  <mergeCells count="7">
    <mergeCell ref="H10:I10"/>
    <mergeCell ref="D2:H2"/>
    <mergeCell ref="D3:H3"/>
    <mergeCell ref="D4:H4"/>
    <mergeCell ref="D5:H5"/>
    <mergeCell ref="H8:I8"/>
    <mergeCell ref="H9:I9"/>
  </mergeCells>
  <phoneticPr fontId="13" type="noConversion"/>
  <hyperlinks>
    <hyperlink ref="A214" r:id="rId1"/>
  </hyperlinks>
  <pageMargins left="0.78740157499999996" right="0.78740157499999996" top="0.984251969" bottom="0.984251969" header="0.4921259845" footer="0.4921259845"/>
  <pageSetup paperSize="9" orientation="portrait" horizontalDpi="300" verticalDpi="300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2"/>
  <dimension ref="A2:CG262"/>
  <sheetViews>
    <sheetView zoomScale="85" workbookViewId="0">
      <selection activeCell="D2" sqref="D2:H4"/>
    </sheetView>
  </sheetViews>
  <sheetFormatPr baseColWidth="10" defaultColWidth="11.44140625" defaultRowHeight="13.2"/>
  <cols>
    <col min="1" max="1" width="15.5546875" style="8" customWidth="1"/>
    <col min="2" max="5" width="11.5546875" style="8" customWidth="1"/>
    <col min="6" max="6" width="13" style="8" customWidth="1"/>
    <col min="7" max="10" width="11.5546875" style="8" customWidth="1"/>
    <col min="11" max="11" width="6.44140625" style="8" customWidth="1"/>
    <col min="12" max="13" width="5.6640625" style="77" customWidth="1"/>
    <col min="14" max="14" width="6.5546875" style="77" customWidth="1"/>
    <col min="15" max="15" width="6" style="77" customWidth="1"/>
    <col min="16" max="85" width="5.6640625" style="77" customWidth="1"/>
    <col min="86" max="16384" width="11.44140625" style="9"/>
  </cols>
  <sheetData>
    <row r="2" spans="1:25" ht="16.2">
      <c r="D2" s="181" t="s">
        <v>147</v>
      </c>
      <c r="E2" s="181"/>
      <c r="F2" s="181"/>
      <c r="G2" s="181"/>
      <c r="H2" s="181"/>
    </row>
    <row r="3" spans="1:25" ht="16.2">
      <c r="D3" s="181" t="s">
        <v>148</v>
      </c>
      <c r="E3" s="181"/>
      <c r="F3" s="181"/>
      <c r="G3" s="181"/>
      <c r="H3" s="181"/>
    </row>
    <row r="4" spans="1:25" ht="16.2">
      <c r="D4" s="181" t="s">
        <v>149</v>
      </c>
      <c r="E4" s="181"/>
      <c r="F4" s="181"/>
      <c r="G4" s="181"/>
      <c r="H4" s="181"/>
    </row>
    <row r="5" spans="1:25" ht="13.8" thickBot="1"/>
    <row r="6" spans="1:25" ht="14.4" thickBot="1">
      <c r="A6" s="35" t="s">
        <v>1</v>
      </c>
      <c r="B6" s="36"/>
      <c r="C6" s="36"/>
      <c r="D6" s="36"/>
      <c r="E6" s="36"/>
      <c r="F6" s="40"/>
    </row>
    <row r="7" spans="1:25">
      <c r="A7" s="37"/>
      <c r="B7" s="38" t="s">
        <v>2</v>
      </c>
      <c r="C7" s="38" t="s">
        <v>3</v>
      </c>
      <c r="D7" s="38" t="s">
        <v>4</v>
      </c>
      <c r="E7" s="38" t="s">
        <v>5</v>
      </c>
      <c r="F7" s="41" t="s">
        <v>41</v>
      </c>
      <c r="H7" s="177" t="s">
        <v>6</v>
      </c>
      <c r="I7" s="178"/>
      <c r="J7" s="11"/>
      <c r="K7" s="11"/>
      <c r="N7" s="93" t="str">
        <f>C8</f>
        <v>V1</v>
      </c>
      <c r="O7" s="93" t="str">
        <f>D8</f>
        <v>V10</v>
      </c>
      <c r="P7" s="93" t="str">
        <f>E8</f>
        <v>V20</v>
      </c>
      <c r="Q7" s="93" t="str">
        <f>F8</f>
        <v>V30</v>
      </c>
      <c r="R7" s="77" t="s">
        <v>50</v>
      </c>
      <c r="S7" s="93" t="str">
        <f>C9</f>
        <v>1h</v>
      </c>
      <c r="T7" s="93" t="str">
        <f>D9</f>
        <v>24h</v>
      </c>
      <c r="U7" s="93" t="str">
        <f>E9</f>
        <v>48h</v>
      </c>
      <c r="V7" s="93" t="str">
        <f>F9</f>
        <v>72h</v>
      </c>
      <c r="W7" s="77" t="s">
        <v>50</v>
      </c>
      <c r="X7" s="93" t="str">
        <f>C10</f>
        <v>OUI</v>
      </c>
      <c r="Y7" s="93" t="str">
        <f>D10</f>
        <v>NON</v>
      </c>
    </row>
    <row r="8" spans="1:25">
      <c r="A8" s="39" t="s">
        <v>7</v>
      </c>
      <c r="B8" s="54" t="s">
        <v>45</v>
      </c>
      <c r="C8" s="53" t="s">
        <v>126</v>
      </c>
      <c r="D8" s="53" t="s">
        <v>123</v>
      </c>
      <c r="E8" s="53" t="s">
        <v>124</v>
      </c>
      <c r="F8" s="99" t="s">
        <v>125</v>
      </c>
      <c r="H8" s="179" t="s">
        <v>115</v>
      </c>
      <c r="I8" s="180"/>
      <c r="J8" s="11"/>
      <c r="K8" s="11"/>
      <c r="N8" s="93" t="str">
        <f>B8</f>
        <v>Virus</v>
      </c>
      <c r="O8" s="93" t="str">
        <f>B8</f>
        <v>Virus</v>
      </c>
      <c r="P8" s="93" t="str">
        <f>B8</f>
        <v>Virus</v>
      </c>
      <c r="Q8" s="93" t="str">
        <f>B8</f>
        <v>Virus</v>
      </c>
      <c r="S8" s="93" t="str">
        <f>B9</f>
        <v>Temps</v>
      </c>
      <c r="T8" s="93" t="str">
        <f>B9</f>
        <v>Temps</v>
      </c>
      <c r="U8" s="93" t="str">
        <f>B9</f>
        <v>Temps</v>
      </c>
      <c r="V8" s="93" t="str">
        <f>B9</f>
        <v>Temps</v>
      </c>
      <c r="X8" s="93" t="str">
        <f>B10</f>
        <v>TNF</v>
      </c>
      <c r="Y8" s="93" t="str">
        <f>B10</f>
        <v>TNF</v>
      </c>
    </row>
    <row r="9" spans="1:25" ht="13.8" thickBot="1">
      <c r="A9" s="39" t="s">
        <v>8</v>
      </c>
      <c r="B9" s="54" t="s">
        <v>46</v>
      </c>
      <c r="C9" s="53" t="s">
        <v>127</v>
      </c>
      <c r="D9" s="53" t="s">
        <v>128</v>
      </c>
      <c r="E9" s="53" t="s">
        <v>129</v>
      </c>
      <c r="F9" s="99" t="s">
        <v>130</v>
      </c>
      <c r="H9" s="174" t="s">
        <v>9</v>
      </c>
      <c r="I9" s="175"/>
      <c r="J9" s="11"/>
      <c r="K9" s="11"/>
      <c r="M9" s="77" t="s">
        <v>2</v>
      </c>
      <c r="N9" s="94">
        <f>B48+C48</f>
        <v>158.25</v>
      </c>
      <c r="O9" s="94">
        <f>B49+C49</f>
        <v>346.25</v>
      </c>
      <c r="P9" s="94">
        <f>B50+C50</f>
        <v>606.25</v>
      </c>
      <c r="Q9" s="94">
        <f>B51+C51</f>
        <v>866.25</v>
      </c>
      <c r="R9" s="94"/>
      <c r="S9" s="94">
        <f>B48+D48</f>
        <v>422.9375</v>
      </c>
      <c r="T9" s="94">
        <f>B49+D49</f>
        <v>471.5625</v>
      </c>
      <c r="U9" s="94">
        <f>B50+D50</f>
        <v>508.75</v>
      </c>
      <c r="V9" s="94">
        <f>B51+D51</f>
        <v>573.75</v>
      </c>
      <c r="W9" s="94"/>
      <c r="X9" s="94">
        <f>B48+E48</f>
        <v>477.5625</v>
      </c>
      <c r="Y9" s="94">
        <f>B49+E49</f>
        <v>510.9375</v>
      </c>
    </row>
    <row r="10" spans="1:25" ht="13.8" thickBot="1">
      <c r="A10" s="44" t="s">
        <v>25</v>
      </c>
      <c r="B10" s="100" t="s">
        <v>0</v>
      </c>
      <c r="C10" s="100" t="s">
        <v>47</v>
      </c>
      <c r="D10" s="100" t="s">
        <v>48</v>
      </c>
      <c r="E10" s="45"/>
      <c r="F10" s="46"/>
      <c r="M10" s="77" t="s">
        <v>51</v>
      </c>
      <c r="N10" s="94">
        <f t="shared" ref="N10:Y10" si="0">$B$48</f>
        <v>494.25</v>
      </c>
      <c r="O10" s="94">
        <f t="shared" si="0"/>
        <v>494.25</v>
      </c>
      <c r="P10" s="94">
        <f t="shared" si="0"/>
        <v>494.25</v>
      </c>
      <c r="Q10" s="94">
        <f t="shared" si="0"/>
        <v>494.25</v>
      </c>
      <c r="R10" s="94">
        <f t="shared" si="0"/>
        <v>494.25</v>
      </c>
      <c r="S10" s="94">
        <f t="shared" si="0"/>
        <v>494.25</v>
      </c>
      <c r="T10" s="94">
        <f t="shared" si="0"/>
        <v>494.25</v>
      </c>
      <c r="U10" s="94">
        <f t="shared" si="0"/>
        <v>494.25</v>
      </c>
      <c r="V10" s="94">
        <f t="shared" si="0"/>
        <v>494.25</v>
      </c>
      <c r="W10" s="94">
        <f t="shared" si="0"/>
        <v>494.25</v>
      </c>
      <c r="X10" s="94">
        <f t="shared" si="0"/>
        <v>494.25</v>
      </c>
      <c r="Y10" s="94">
        <f t="shared" si="0"/>
        <v>494.25</v>
      </c>
    </row>
    <row r="11" spans="1:25" ht="16.2" customHeight="1">
      <c r="F11" s="9"/>
    </row>
    <row r="12" spans="1:25" ht="16.2" customHeight="1">
      <c r="F12" s="102" t="s">
        <v>114</v>
      </c>
      <c r="G12" s="101"/>
      <c r="H12" s="101"/>
      <c r="I12" s="101"/>
      <c r="J12" s="13"/>
      <c r="K12" s="13"/>
    </row>
    <row r="13" spans="1:25" ht="14.25" customHeight="1">
      <c r="A13" s="47" t="s">
        <v>10</v>
      </c>
      <c r="B13" s="48" t="str">
        <f>B8</f>
        <v>Virus</v>
      </c>
      <c r="C13" s="48" t="str">
        <f>B9</f>
        <v>Temps</v>
      </c>
      <c r="D13" s="48" t="str">
        <f>B10</f>
        <v>TNF</v>
      </c>
      <c r="E13" s="47" t="s">
        <v>11</v>
      </c>
      <c r="F13" s="96" t="s">
        <v>12</v>
      </c>
      <c r="G13" s="96" t="s">
        <v>13</v>
      </c>
      <c r="H13" s="96" t="s">
        <v>14</v>
      </c>
      <c r="I13" s="96" t="s">
        <v>15</v>
      </c>
      <c r="J13" s="96" t="s">
        <v>16</v>
      </c>
      <c r="K13" s="14"/>
    </row>
    <row r="14" spans="1:25" ht="13.8">
      <c r="A14" s="97">
        <v>1</v>
      </c>
      <c r="B14" s="98" t="str">
        <f>C$8</f>
        <v>V1</v>
      </c>
      <c r="C14" s="98" t="str">
        <f>C$9</f>
        <v>1h</v>
      </c>
      <c r="D14" s="98">
        <v>1</v>
      </c>
      <c r="E14" s="52">
        <f t="shared" ref="E14:E45" si="1">MEDIAN(F14:J14)</f>
        <v>141</v>
      </c>
      <c r="F14" s="57">
        <v>141</v>
      </c>
      <c r="G14" s="57"/>
      <c r="H14" s="57"/>
      <c r="I14" s="57"/>
      <c r="J14" s="57"/>
      <c r="K14" s="14"/>
    </row>
    <row r="15" spans="1:25" ht="13.8">
      <c r="A15" s="97">
        <v>2</v>
      </c>
      <c r="B15" s="98" t="str">
        <f t="shared" ref="B15:B21" si="2">C$8</f>
        <v>V1</v>
      </c>
      <c r="C15" s="98" t="str">
        <f>C$9</f>
        <v>1h</v>
      </c>
      <c r="D15" s="98">
        <v>2</v>
      </c>
      <c r="E15" s="52">
        <f t="shared" si="1"/>
        <v>190</v>
      </c>
      <c r="F15" s="57">
        <v>190</v>
      </c>
      <c r="G15" s="57"/>
      <c r="H15" s="57"/>
      <c r="I15" s="57"/>
      <c r="J15" s="57"/>
      <c r="K15" s="14"/>
    </row>
    <row r="16" spans="1:25" ht="13.8">
      <c r="A16" s="97">
        <v>3</v>
      </c>
      <c r="B16" s="98" t="str">
        <f t="shared" si="2"/>
        <v>V1</v>
      </c>
      <c r="C16" s="98" t="str">
        <f>D$9</f>
        <v>24h</v>
      </c>
      <c r="D16" s="98">
        <v>1</v>
      </c>
      <c r="E16" s="52">
        <f t="shared" si="1"/>
        <v>150</v>
      </c>
      <c r="F16" s="57">
        <v>150</v>
      </c>
      <c r="G16" s="57"/>
      <c r="H16" s="57"/>
      <c r="I16" s="57"/>
      <c r="J16" s="57"/>
      <c r="K16" s="14"/>
    </row>
    <row r="17" spans="1:19" ht="13.8">
      <c r="A17" s="97">
        <v>4</v>
      </c>
      <c r="B17" s="98" t="str">
        <f t="shared" si="2"/>
        <v>V1</v>
      </c>
      <c r="C17" s="98" t="str">
        <f>D$9</f>
        <v>24h</v>
      </c>
      <c r="D17" s="98">
        <v>2</v>
      </c>
      <c r="E17" s="52">
        <f t="shared" si="1"/>
        <v>180</v>
      </c>
      <c r="F17" s="57">
        <v>180</v>
      </c>
      <c r="G17" s="57"/>
      <c r="H17" s="57"/>
      <c r="I17" s="57"/>
      <c r="J17" s="57"/>
      <c r="K17" s="14"/>
    </row>
    <row r="18" spans="1:19" ht="13.8">
      <c r="A18" s="97">
        <v>5</v>
      </c>
      <c r="B18" s="98" t="str">
        <f t="shared" si="2"/>
        <v>V1</v>
      </c>
      <c r="C18" s="98" t="str">
        <f>E$9</f>
        <v>48h</v>
      </c>
      <c r="D18" s="98">
        <v>1</v>
      </c>
      <c r="E18" s="52">
        <f t="shared" si="1"/>
        <v>102.5</v>
      </c>
      <c r="F18" s="57">
        <v>102.5</v>
      </c>
      <c r="G18" s="57"/>
      <c r="H18" s="57"/>
      <c r="I18" s="57"/>
      <c r="J18" s="57"/>
      <c r="K18" s="14"/>
    </row>
    <row r="19" spans="1:19" ht="13.8">
      <c r="A19" s="97">
        <v>6</v>
      </c>
      <c r="B19" s="98" t="str">
        <f t="shared" si="2"/>
        <v>V1</v>
      </c>
      <c r="C19" s="98" t="str">
        <f>E$9</f>
        <v>48h</v>
      </c>
      <c r="D19" s="98">
        <v>2</v>
      </c>
      <c r="E19" s="52">
        <f t="shared" si="1"/>
        <v>135</v>
      </c>
      <c r="F19" s="57">
        <v>135</v>
      </c>
      <c r="G19" s="57"/>
      <c r="H19" s="57"/>
      <c r="I19" s="57"/>
      <c r="J19" s="57"/>
      <c r="K19" s="14"/>
    </row>
    <row r="20" spans="1:19" ht="13.8">
      <c r="A20" s="97">
        <v>7</v>
      </c>
      <c r="B20" s="98" t="str">
        <f t="shared" si="2"/>
        <v>V1</v>
      </c>
      <c r="C20" s="98" t="str">
        <f>F$9</f>
        <v>72h</v>
      </c>
      <c r="D20" s="98">
        <v>1</v>
      </c>
      <c r="E20" s="52">
        <f t="shared" si="1"/>
        <v>167.5</v>
      </c>
      <c r="F20" s="57">
        <v>167.5</v>
      </c>
      <c r="G20" s="57"/>
      <c r="H20" s="57"/>
      <c r="I20" s="57"/>
      <c r="J20" s="57"/>
      <c r="K20" s="14"/>
    </row>
    <row r="21" spans="1:19" ht="13.8">
      <c r="A21" s="97">
        <v>8</v>
      </c>
      <c r="B21" s="98" t="str">
        <f t="shared" si="2"/>
        <v>V1</v>
      </c>
      <c r="C21" s="98" t="str">
        <f>F$9</f>
        <v>72h</v>
      </c>
      <c r="D21" s="98">
        <v>2</v>
      </c>
      <c r="E21" s="52">
        <f t="shared" si="1"/>
        <v>200</v>
      </c>
      <c r="F21" s="57">
        <v>200</v>
      </c>
      <c r="G21" s="57"/>
      <c r="H21" s="57"/>
      <c r="I21" s="57"/>
      <c r="J21" s="57"/>
      <c r="K21" s="14"/>
    </row>
    <row r="22" spans="1:19" ht="13.8">
      <c r="A22" s="97">
        <v>9</v>
      </c>
      <c r="B22" s="98" t="str">
        <f>D$8</f>
        <v>V10</v>
      </c>
      <c r="C22" s="98" t="str">
        <f>C$9</f>
        <v>1h</v>
      </c>
      <c r="D22" s="98">
        <v>1</v>
      </c>
      <c r="E22" s="52">
        <f t="shared" si="1"/>
        <v>232.5</v>
      </c>
      <c r="F22" s="57">
        <v>232.5</v>
      </c>
      <c r="G22" s="57"/>
      <c r="H22" s="57"/>
      <c r="I22" s="57"/>
      <c r="J22" s="57"/>
      <c r="K22" s="14"/>
    </row>
    <row r="23" spans="1:19" ht="13.8">
      <c r="A23" s="97">
        <v>10</v>
      </c>
      <c r="B23" s="98" t="str">
        <f t="shared" ref="B23:B29" si="3">D$8</f>
        <v>V10</v>
      </c>
      <c r="C23" s="98" t="str">
        <f>C$9</f>
        <v>1h</v>
      </c>
      <c r="D23" s="98">
        <v>2</v>
      </c>
      <c r="E23" s="52">
        <f t="shared" si="1"/>
        <v>265</v>
      </c>
      <c r="F23" s="57">
        <v>265</v>
      </c>
      <c r="G23" s="57"/>
      <c r="H23" s="57"/>
      <c r="I23" s="57"/>
      <c r="J23" s="57"/>
      <c r="K23" s="14"/>
    </row>
    <row r="24" spans="1:19" ht="13.8">
      <c r="A24" s="97">
        <v>11</v>
      </c>
      <c r="B24" s="98" t="str">
        <f t="shared" si="3"/>
        <v>V10</v>
      </c>
      <c r="C24" s="98" t="str">
        <f>D$9</f>
        <v>24h</v>
      </c>
      <c r="D24" s="98">
        <v>1</v>
      </c>
      <c r="E24" s="52">
        <f t="shared" si="1"/>
        <v>297.5</v>
      </c>
      <c r="F24" s="57">
        <v>297.5</v>
      </c>
      <c r="G24" s="57"/>
      <c r="H24" s="57"/>
      <c r="I24" s="57"/>
      <c r="J24" s="57"/>
      <c r="K24" s="14"/>
      <c r="P24" s="93" t="str">
        <f>B8</f>
        <v>Virus</v>
      </c>
      <c r="Q24" s="93" t="str">
        <f>B8</f>
        <v>Virus</v>
      </c>
      <c r="R24" s="93" t="str">
        <f>B8</f>
        <v>Virus</v>
      </c>
      <c r="S24" s="93" t="str">
        <f>B8</f>
        <v>Virus</v>
      </c>
    </row>
    <row r="25" spans="1:19" ht="13.8">
      <c r="A25" s="97">
        <v>12</v>
      </c>
      <c r="B25" s="98" t="str">
        <f t="shared" si="3"/>
        <v>V10</v>
      </c>
      <c r="C25" s="98" t="str">
        <f>D$9</f>
        <v>24h</v>
      </c>
      <c r="D25" s="98">
        <v>2</v>
      </c>
      <c r="E25" s="52">
        <f t="shared" si="1"/>
        <v>330</v>
      </c>
      <c r="F25" s="57">
        <v>330</v>
      </c>
      <c r="G25" s="57"/>
      <c r="H25" s="57"/>
      <c r="I25" s="57"/>
      <c r="J25" s="57"/>
      <c r="K25" s="14"/>
      <c r="P25" s="93" t="str">
        <f>C8</f>
        <v>V1</v>
      </c>
      <c r="Q25" s="93" t="str">
        <f>D8</f>
        <v>V10</v>
      </c>
      <c r="R25" s="93" t="str">
        <f>E8</f>
        <v>V20</v>
      </c>
      <c r="S25" s="93" t="str">
        <f>F8</f>
        <v>V30</v>
      </c>
    </row>
    <row r="26" spans="1:19" ht="13.8">
      <c r="A26" s="97">
        <v>13</v>
      </c>
      <c r="B26" s="98" t="str">
        <f t="shared" si="3"/>
        <v>V10</v>
      </c>
      <c r="C26" s="98" t="str">
        <f>E$9</f>
        <v>48h</v>
      </c>
      <c r="D26" s="98">
        <v>1</v>
      </c>
      <c r="E26" s="52">
        <f t="shared" si="1"/>
        <v>362.5</v>
      </c>
      <c r="F26" s="57">
        <v>362.5</v>
      </c>
      <c r="G26" s="57"/>
      <c r="H26" s="57"/>
      <c r="I26" s="57"/>
      <c r="J26" s="57"/>
      <c r="K26" s="14"/>
      <c r="N26" s="93" t="str">
        <f>C9</f>
        <v>1h</v>
      </c>
      <c r="O26" s="93" t="str">
        <f>B9</f>
        <v>Temps</v>
      </c>
      <c r="P26" s="77">
        <f>AVERAGE(qa1b1)</f>
        <v>165.5</v>
      </c>
      <c r="Q26" s="77">
        <f>AVERAGE(qa2b1)</f>
        <v>248.75</v>
      </c>
      <c r="R26" s="77">
        <f>AVERAGE(qa3b1)</f>
        <v>508.75</v>
      </c>
      <c r="S26" s="77">
        <f>AVERAGE(qa4b1)</f>
        <v>768.75</v>
      </c>
    </row>
    <row r="27" spans="1:19" ht="13.8">
      <c r="A27" s="97">
        <v>14</v>
      </c>
      <c r="B27" s="98" t="str">
        <f t="shared" si="3"/>
        <v>V10</v>
      </c>
      <c r="C27" s="98" t="str">
        <f>E$9</f>
        <v>48h</v>
      </c>
      <c r="D27" s="98">
        <v>2</v>
      </c>
      <c r="E27" s="52">
        <f t="shared" si="1"/>
        <v>395</v>
      </c>
      <c r="F27" s="57">
        <v>395</v>
      </c>
      <c r="G27" s="57"/>
      <c r="H27" s="57"/>
      <c r="I27" s="57"/>
      <c r="J27" s="57"/>
      <c r="K27" s="14"/>
      <c r="N27" s="93" t="str">
        <f>D9</f>
        <v>24h</v>
      </c>
      <c r="O27" s="93" t="str">
        <f>B9</f>
        <v>Temps</v>
      </c>
      <c r="P27" s="77">
        <f>AVERAGE(qa1b2)</f>
        <v>165</v>
      </c>
      <c r="Q27" s="77">
        <f>AVERAGE(qa2b2)</f>
        <v>313.75</v>
      </c>
      <c r="R27" s="77">
        <f>AVERAGE(qa3b2)</f>
        <v>573.75</v>
      </c>
      <c r="S27" s="77">
        <f>AVERAGE(qa4b2)</f>
        <v>833.75</v>
      </c>
    </row>
    <row r="28" spans="1:19" ht="13.8">
      <c r="A28" s="97">
        <v>15</v>
      </c>
      <c r="B28" s="98" t="str">
        <f t="shared" si="3"/>
        <v>V10</v>
      </c>
      <c r="C28" s="98" t="str">
        <f>F$9</f>
        <v>72h</v>
      </c>
      <c r="D28" s="98">
        <v>1</v>
      </c>
      <c r="E28" s="52">
        <f t="shared" si="1"/>
        <v>427.5</v>
      </c>
      <c r="F28" s="57">
        <v>427.5</v>
      </c>
      <c r="G28" s="57"/>
      <c r="H28" s="57"/>
      <c r="I28" s="57"/>
      <c r="J28" s="57"/>
      <c r="K28" s="14"/>
      <c r="N28" s="93" t="str">
        <f>E9</f>
        <v>48h</v>
      </c>
      <c r="O28" s="93" t="str">
        <f>B9</f>
        <v>Temps</v>
      </c>
      <c r="P28" s="77">
        <f>AVERAGE(qa1b3)</f>
        <v>118.75</v>
      </c>
      <c r="Q28" s="77">
        <f>AVERAGE(qa2b3)</f>
        <v>378.75</v>
      </c>
      <c r="R28" s="77">
        <f>AVERAGE(qa3b3)</f>
        <v>638.75</v>
      </c>
      <c r="S28" s="77">
        <f>AVERAGE(qa4b3)</f>
        <v>898.75</v>
      </c>
    </row>
    <row r="29" spans="1:19" ht="13.8">
      <c r="A29" s="97">
        <v>16</v>
      </c>
      <c r="B29" s="98" t="str">
        <f t="shared" si="3"/>
        <v>V10</v>
      </c>
      <c r="C29" s="98" t="str">
        <f>F$9</f>
        <v>72h</v>
      </c>
      <c r="D29" s="98">
        <v>2</v>
      </c>
      <c r="E29" s="52">
        <f t="shared" si="1"/>
        <v>460</v>
      </c>
      <c r="F29" s="57">
        <v>460</v>
      </c>
      <c r="G29" s="57"/>
      <c r="H29" s="57"/>
      <c r="I29" s="57"/>
      <c r="J29" s="57"/>
      <c r="K29" s="14"/>
      <c r="N29" s="93" t="str">
        <f>F9</f>
        <v>72h</v>
      </c>
      <c r="O29" s="93" t="str">
        <f>B9</f>
        <v>Temps</v>
      </c>
      <c r="P29" s="77">
        <f>AVERAGE(qa1b4)</f>
        <v>183.75</v>
      </c>
      <c r="Q29" s="77">
        <f>AVERAGE(qa2b4)</f>
        <v>443.75</v>
      </c>
      <c r="R29" s="77">
        <f>AVERAGE(qa3b4)</f>
        <v>703.75</v>
      </c>
      <c r="S29" s="77">
        <f>AVERAGE(qa4b4)</f>
        <v>963.75</v>
      </c>
    </row>
    <row r="30" spans="1:19" ht="13.8">
      <c r="A30" s="97">
        <v>17</v>
      </c>
      <c r="B30" s="98" t="str">
        <f>E$8</f>
        <v>V20</v>
      </c>
      <c r="C30" s="98" t="str">
        <f>C$9</f>
        <v>1h</v>
      </c>
      <c r="D30" s="98">
        <v>1</v>
      </c>
      <c r="E30" s="52">
        <f t="shared" si="1"/>
        <v>492.5</v>
      </c>
      <c r="F30" s="57">
        <v>492.5</v>
      </c>
      <c r="G30" s="57"/>
      <c r="H30" s="57"/>
      <c r="I30" s="57"/>
      <c r="J30" s="57"/>
      <c r="K30" s="14"/>
      <c r="N30" s="77" t="s">
        <v>50</v>
      </c>
    </row>
    <row r="31" spans="1:19" ht="13.8">
      <c r="A31" s="97">
        <v>18</v>
      </c>
      <c r="B31" s="98" t="str">
        <f t="shared" ref="B31:B37" si="4">E$8</f>
        <v>V20</v>
      </c>
      <c r="C31" s="98" t="str">
        <f>C$9</f>
        <v>1h</v>
      </c>
      <c r="D31" s="98">
        <v>2</v>
      </c>
      <c r="E31" s="52">
        <f t="shared" si="1"/>
        <v>525</v>
      </c>
      <c r="F31" s="57">
        <v>525</v>
      </c>
      <c r="G31" s="57"/>
      <c r="H31" s="57"/>
      <c r="I31" s="57"/>
      <c r="J31" s="57"/>
      <c r="K31" s="14"/>
      <c r="N31" s="93" t="str">
        <f>C10</f>
        <v>OUI</v>
      </c>
      <c r="O31" s="93" t="str">
        <f>B10</f>
        <v>TNF</v>
      </c>
      <c r="P31" s="77">
        <f>AVERAGE(qa1c1)</f>
        <v>140.25</v>
      </c>
      <c r="Q31" s="77">
        <f>AVERAGE(qa2c1)</f>
        <v>330</v>
      </c>
      <c r="R31" s="77">
        <f>AVERAGE(qa3c1)</f>
        <v>590</v>
      </c>
      <c r="S31" s="77">
        <f>AVERAGE(qa4c1)</f>
        <v>850</v>
      </c>
    </row>
    <row r="32" spans="1:19" ht="13.8">
      <c r="A32" s="97">
        <v>19</v>
      </c>
      <c r="B32" s="98" t="str">
        <f t="shared" si="4"/>
        <v>V20</v>
      </c>
      <c r="C32" s="98" t="str">
        <f>D$9</f>
        <v>24h</v>
      </c>
      <c r="D32" s="98">
        <v>1</v>
      </c>
      <c r="E32" s="52">
        <f t="shared" si="1"/>
        <v>557.5</v>
      </c>
      <c r="F32" s="57">
        <v>557.5</v>
      </c>
      <c r="G32" s="57"/>
      <c r="H32" s="57"/>
      <c r="I32" s="57"/>
      <c r="J32" s="57"/>
      <c r="K32" s="14"/>
      <c r="N32" s="93" t="str">
        <f>D10</f>
        <v>NON</v>
      </c>
      <c r="O32" s="93" t="str">
        <f>B10</f>
        <v>TNF</v>
      </c>
      <c r="P32" s="77">
        <f>AVERAGE(qa1c2)</f>
        <v>176.25</v>
      </c>
      <c r="Q32" s="77">
        <f>AVERAGE(qa2c2)</f>
        <v>362.5</v>
      </c>
      <c r="R32" s="77">
        <f>AVERAGE(qa3c2)</f>
        <v>622.5</v>
      </c>
      <c r="S32" s="77">
        <f>AVERAGE(qa4c2)</f>
        <v>882.5</v>
      </c>
    </row>
    <row r="33" spans="1:19" ht="13.8">
      <c r="A33" s="97">
        <v>20</v>
      </c>
      <c r="B33" s="98" t="str">
        <f t="shared" si="4"/>
        <v>V20</v>
      </c>
      <c r="C33" s="98" t="str">
        <f>D$9</f>
        <v>24h</v>
      </c>
      <c r="D33" s="98">
        <v>2</v>
      </c>
      <c r="E33" s="52">
        <f t="shared" si="1"/>
        <v>590</v>
      </c>
      <c r="F33" s="57">
        <v>590</v>
      </c>
      <c r="G33" s="57"/>
      <c r="H33" s="57"/>
      <c r="I33" s="57"/>
      <c r="J33" s="57"/>
      <c r="K33" s="14"/>
    </row>
    <row r="34" spans="1:19" ht="13.8">
      <c r="A34" s="97">
        <v>21</v>
      </c>
      <c r="B34" s="98" t="str">
        <f t="shared" si="4"/>
        <v>V20</v>
      </c>
      <c r="C34" s="98" t="str">
        <f>E$9</f>
        <v>48h</v>
      </c>
      <c r="D34" s="98">
        <v>1</v>
      </c>
      <c r="E34" s="52">
        <f t="shared" si="1"/>
        <v>622.5</v>
      </c>
      <c r="F34" s="57">
        <v>622.5</v>
      </c>
      <c r="G34" s="57"/>
      <c r="H34" s="57"/>
      <c r="I34" s="57"/>
      <c r="J34" s="57"/>
      <c r="K34" s="14"/>
    </row>
    <row r="35" spans="1:19" ht="13.8">
      <c r="A35" s="97">
        <v>22</v>
      </c>
      <c r="B35" s="98" t="str">
        <f t="shared" si="4"/>
        <v>V20</v>
      </c>
      <c r="C35" s="98" t="str">
        <f>E$9</f>
        <v>48h</v>
      </c>
      <c r="D35" s="98">
        <v>2</v>
      </c>
      <c r="E35" s="52">
        <f t="shared" si="1"/>
        <v>655</v>
      </c>
      <c r="F35" s="57">
        <v>655</v>
      </c>
      <c r="G35" s="57"/>
      <c r="H35" s="57"/>
      <c r="I35" s="57"/>
      <c r="J35" s="57"/>
      <c r="K35" s="14"/>
    </row>
    <row r="36" spans="1:19" ht="13.8">
      <c r="A36" s="97">
        <v>23</v>
      </c>
      <c r="B36" s="98" t="str">
        <f t="shared" si="4"/>
        <v>V20</v>
      </c>
      <c r="C36" s="98" t="str">
        <f>F$9</f>
        <v>72h</v>
      </c>
      <c r="D36" s="98">
        <v>1</v>
      </c>
      <c r="E36" s="52">
        <f t="shared" si="1"/>
        <v>687.5</v>
      </c>
      <c r="F36" s="57">
        <v>687.5</v>
      </c>
      <c r="G36" s="57"/>
      <c r="H36" s="57"/>
      <c r="I36" s="57"/>
      <c r="J36" s="57"/>
      <c r="K36" s="14"/>
    </row>
    <row r="37" spans="1:19" ht="13.8">
      <c r="A37" s="97">
        <v>24</v>
      </c>
      <c r="B37" s="98" t="str">
        <f t="shared" si="4"/>
        <v>V20</v>
      </c>
      <c r="C37" s="98" t="str">
        <f>F$9</f>
        <v>72h</v>
      </c>
      <c r="D37" s="98">
        <v>2</v>
      </c>
      <c r="E37" s="52">
        <f t="shared" si="1"/>
        <v>720</v>
      </c>
      <c r="F37" s="57">
        <v>720</v>
      </c>
      <c r="G37" s="57"/>
      <c r="H37" s="57"/>
      <c r="I37" s="57"/>
      <c r="J37" s="57"/>
      <c r="K37" s="14"/>
    </row>
    <row r="38" spans="1:19" ht="13.8">
      <c r="A38" s="97">
        <v>25</v>
      </c>
      <c r="B38" s="98" t="str">
        <f>F$8</f>
        <v>V30</v>
      </c>
      <c r="C38" s="98" t="str">
        <f>C$9</f>
        <v>1h</v>
      </c>
      <c r="D38" s="98">
        <v>1</v>
      </c>
      <c r="E38" s="52">
        <f t="shared" si="1"/>
        <v>752.5</v>
      </c>
      <c r="F38" s="57">
        <v>752.5</v>
      </c>
      <c r="G38" s="57"/>
      <c r="H38" s="57"/>
      <c r="I38" s="57"/>
      <c r="J38" s="57"/>
      <c r="K38" s="14"/>
    </row>
    <row r="39" spans="1:19" ht="13.8">
      <c r="A39" s="97">
        <v>26</v>
      </c>
      <c r="B39" s="98" t="str">
        <f t="shared" ref="B39:B45" si="5">F$8</f>
        <v>V30</v>
      </c>
      <c r="C39" s="98" t="str">
        <f>C$9</f>
        <v>1h</v>
      </c>
      <c r="D39" s="98">
        <v>2</v>
      </c>
      <c r="E39" s="52">
        <f t="shared" si="1"/>
        <v>785</v>
      </c>
      <c r="F39" s="57">
        <v>785</v>
      </c>
      <c r="G39" s="57"/>
      <c r="H39" s="57"/>
      <c r="I39" s="57"/>
      <c r="J39" s="57"/>
      <c r="K39" s="14"/>
    </row>
    <row r="40" spans="1:19" ht="13.8">
      <c r="A40" s="97">
        <v>27</v>
      </c>
      <c r="B40" s="98" t="str">
        <f t="shared" si="5"/>
        <v>V30</v>
      </c>
      <c r="C40" s="98" t="str">
        <f>D$9</f>
        <v>24h</v>
      </c>
      <c r="D40" s="98">
        <v>1</v>
      </c>
      <c r="E40" s="52">
        <f t="shared" si="1"/>
        <v>817.5</v>
      </c>
      <c r="F40" s="57">
        <v>817.5</v>
      </c>
      <c r="G40" s="57"/>
      <c r="H40" s="57"/>
      <c r="I40" s="57"/>
      <c r="J40" s="57"/>
      <c r="K40" s="14"/>
    </row>
    <row r="41" spans="1:19" ht="13.8">
      <c r="A41" s="97">
        <v>28</v>
      </c>
      <c r="B41" s="98" t="str">
        <f t="shared" si="5"/>
        <v>V30</v>
      </c>
      <c r="C41" s="98" t="str">
        <f>D$9</f>
        <v>24h</v>
      </c>
      <c r="D41" s="98">
        <v>2</v>
      </c>
      <c r="E41" s="52">
        <f t="shared" si="1"/>
        <v>850</v>
      </c>
      <c r="F41" s="57">
        <v>850</v>
      </c>
      <c r="G41" s="57"/>
      <c r="H41" s="57"/>
      <c r="I41" s="57"/>
      <c r="J41" s="57"/>
      <c r="K41" s="14"/>
    </row>
    <row r="42" spans="1:19" ht="13.8">
      <c r="A42" s="97">
        <v>29</v>
      </c>
      <c r="B42" s="98" t="str">
        <f t="shared" si="5"/>
        <v>V30</v>
      </c>
      <c r="C42" s="98" t="str">
        <f>E$9</f>
        <v>48h</v>
      </c>
      <c r="D42" s="98">
        <v>1</v>
      </c>
      <c r="E42" s="52">
        <f t="shared" si="1"/>
        <v>882.5</v>
      </c>
      <c r="F42" s="57">
        <v>882.5</v>
      </c>
      <c r="G42" s="57"/>
      <c r="H42" s="57"/>
      <c r="I42" s="57"/>
      <c r="J42" s="57"/>
      <c r="K42" s="14"/>
      <c r="P42" s="93" t="str">
        <f>B9</f>
        <v>Temps</v>
      </c>
      <c r="Q42" s="93" t="str">
        <f>B9</f>
        <v>Temps</v>
      </c>
      <c r="R42" s="93" t="str">
        <f>B9</f>
        <v>Temps</v>
      </c>
      <c r="S42" s="93" t="str">
        <f>B9</f>
        <v>Temps</v>
      </c>
    </row>
    <row r="43" spans="1:19" ht="13.8">
      <c r="A43" s="97">
        <v>30</v>
      </c>
      <c r="B43" s="98" t="str">
        <f t="shared" si="5"/>
        <v>V30</v>
      </c>
      <c r="C43" s="98" t="str">
        <f>E$9</f>
        <v>48h</v>
      </c>
      <c r="D43" s="98">
        <v>2</v>
      </c>
      <c r="E43" s="52">
        <f t="shared" si="1"/>
        <v>915</v>
      </c>
      <c r="F43" s="57">
        <v>915</v>
      </c>
      <c r="G43" s="57"/>
      <c r="H43" s="57"/>
      <c r="I43" s="57"/>
      <c r="J43" s="57"/>
      <c r="K43" s="14"/>
      <c r="P43" s="93" t="str">
        <f>C9</f>
        <v>1h</v>
      </c>
      <c r="Q43" s="93" t="str">
        <f>D9</f>
        <v>24h</v>
      </c>
      <c r="R43" s="93" t="str">
        <f>E9</f>
        <v>48h</v>
      </c>
      <c r="S43" s="93" t="str">
        <f>F9</f>
        <v>72h</v>
      </c>
    </row>
    <row r="44" spans="1:19" ht="13.8">
      <c r="A44" s="97">
        <v>31</v>
      </c>
      <c r="B44" s="98" t="str">
        <f t="shared" si="5"/>
        <v>V30</v>
      </c>
      <c r="C44" s="98" t="str">
        <f>F$9</f>
        <v>72h</v>
      </c>
      <c r="D44" s="98">
        <v>1</v>
      </c>
      <c r="E44" s="52">
        <f t="shared" si="1"/>
        <v>947.5</v>
      </c>
      <c r="F44" s="57">
        <v>947.5</v>
      </c>
      <c r="G44" s="57"/>
      <c r="H44" s="57"/>
      <c r="I44" s="57"/>
      <c r="J44" s="57"/>
      <c r="K44" s="14"/>
      <c r="N44" s="93" t="str">
        <f>C10</f>
        <v>OUI</v>
      </c>
      <c r="O44" s="93" t="str">
        <f>B10</f>
        <v>TNF</v>
      </c>
      <c r="P44" s="77">
        <f>AVERAGE(qb1c1)</f>
        <v>404.625</v>
      </c>
      <c r="Q44" s="77">
        <f>AVERAGE(qb2c1)</f>
        <v>455.625</v>
      </c>
      <c r="R44" s="77">
        <f>AVERAGE(qb3c1)</f>
        <v>492.5</v>
      </c>
      <c r="S44" s="77">
        <f>AVERAGE(qb4c1)</f>
        <v>557.5</v>
      </c>
    </row>
    <row r="45" spans="1:19" ht="13.8">
      <c r="A45" s="97">
        <v>32</v>
      </c>
      <c r="B45" s="98" t="str">
        <f t="shared" si="5"/>
        <v>V30</v>
      </c>
      <c r="C45" s="98" t="str">
        <f>F$9</f>
        <v>72h</v>
      </c>
      <c r="D45" s="98">
        <v>2</v>
      </c>
      <c r="E45" s="52">
        <f t="shared" si="1"/>
        <v>980</v>
      </c>
      <c r="F45" s="57">
        <v>980</v>
      </c>
      <c r="G45" s="57"/>
      <c r="H45" s="57"/>
      <c r="I45" s="57"/>
      <c r="J45" s="57"/>
      <c r="K45" s="14"/>
      <c r="N45" s="93" t="str">
        <f>D10</f>
        <v>NON</v>
      </c>
      <c r="O45" s="93" t="str">
        <f>B10</f>
        <v>TNF</v>
      </c>
      <c r="P45" s="77">
        <f>AVERAGE(qb1c2)</f>
        <v>441.25</v>
      </c>
      <c r="Q45" s="77">
        <f>AVERAGE(qb2c2)</f>
        <v>487.5</v>
      </c>
      <c r="R45" s="77">
        <f>AVERAGE(qb3c2)</f>
        <v>525</v>
      </c>
      <c r="S45" s="77">
        <f>AVERAGE(qb4c2)</f>
        <v>590</v>
      </c>
    </row>
    <row r="46" spans="1:19" ht="13.8">
      <c r="B46" s="9"/>
      <c r="C46" s="9"/>
      <c r="D46" s="9"/>
      <c r="E46" s="9"/>
      <c r="F46" s="9"/>
      <c r="G46" s="24"/>
      <c r="H46" s="24"/>
      <c r="I46" s="24"/>
      <c r="J46" s="24"/>
      <c r="K46" s="24"/>
    </row>
    <row r="47" spans="1:19" ht="13.8">
      <c r="A47" s="58" t="s">
        <v>17</v>
      </c>
      <c r="B47" s="59" t="s">
        <v>18</v>
      </c>
      <c r="C47" s="59" t="s">
        <v>19</v>
      </c>
      <c r="D47" s="59" t="s">
        <v>20</v>
      </c>
      <c r="E47" s="59" t="s">
        <v>26</v>
      </c>
      <c r="F47" s="28"/>
      <c r="G47" s="161" t="s">
        <v>159</v>
      </c>
      <c r="H47" s="162"/>
      <c r="I47" s="163"/>
      <c r="J47" s="27"/>
      <c r="K47" s="27"/>
    </row>
    <row r="48" spans="1:19" ht="13.8">
      <c r="A48" s="58" t="s">
        <v>21</v>
      </c>
      <c r="B48" s="60">
        <f>AVERAGE(E14:E45)</f>
        <v>494.25</v>
      </c>
      <c r="C48" s="60">
        <f>AVERAGE(_qa1)-B48</f>
        <v>-336</v>
      </c>
      <c r="D48" s="60">
        <f>AVERAGE(_qb1)-B48</f>
        <v>-71.3125</v>
      </c>
      <c r="E48" s="60">
        <f>AVERAGE(_qc1)-B48</f>
        <v>-16.6875</v>
      </c>
      <c r="F48" s="28"/>
      <c r="G48" s="164" t="s">
        <v>160</v>
      </c>
      <c r="H48" s="165"/>
      <c r="I48" s="166"/>
      <c r="J48" s="28"/>
      <c r="K48" s="28"/>
    </row>
    <row r="49" spans="1:11" ht="13.8">
      <c r="A49" s="58" t="s">
        <v>22</v>
      </c>
      <c r="B49" s="60">
        <f>AVERAGE(E14:E45)</f>
        <v>494.25</v>
      </c>
      <c r="C49" s="60">
        <f>AVERAGE(_qa2)-B49</f>
        <v>-148</v>
      </c>
      <c r="D49" s="60">
        <f>AVERAGE(_qb2)-B49</f>
        <v>-22.6875</v>
      </c>
      <c r="E49" s="60">
        <f>AVERAGE(_qc2)-B49</f>
        <v>16.6875</v>
      </c>
      <c r="F49" s="28"/>
      <c r="G49" s="28"/>
      <c r="H49" s="28"/>
      <c r="I49" s="28"/>
      <c r="J49" s="28"/>
      <c r="K49" s="28"/>
    </row>
    <row r="50" spans="1:11" ht="13.8">
      <c r="A50" s="61" t="s">
        <v>23</v>
      </c>
      <c r="B50" s="60">
        <f>AVERAGE(E14:E45)</f>
        <v>494.25</v>
      </c>
      <c r="C50" s="60">
        <f>AVERAGE(_qa3)-B50</f>
        <v>112</v>
      </c>
      <c r="D50" s="60">
        <f>AVERAGE(_qb3)-B50</f>
        <v>14.5</v>
      </c>
      <c r="E50" s="62"/>
      <c r="F50" s="28"/>
      <c r="G50" s="29"/>
      <c r="H50" s="29"/>
      <c r="I50" s="29"/>
      <c r="J50" s="29"/>
      <c r="K50" s="29"/>
    </row>
    <row r="51" spans="1:11" ht="13.8">
      <c r="A51" s="58" t="s">
        <v>42</v>
      </c>
      <c r="B51" s="60">
        <f>AVERAGE(E14:E45)</f>
        <v>494.25</v>
      </c>
      <c r="C51" s="60">
        <f>AVERAGE(_qa4)-B51</f>
        <v>372</v>
      </c>
      <c r="D51" s="60">
        <f>AVERAGE(_qb4)-B51</f>
        <v>79.5</v>
      </c>
      <c r="E51" s="60"/>
      <c r="F51" s="28"/>
      <c r="G51" s="21"/>
      <c r="H51" s="21"/>
      <c r="I51" s="21"/>
      <c r="J51" s="21"/>
      <c r="K51" s="21"/>
    </row>
    <row r="52" spans="1:11" ht="13.8">
      <c r="A52" s="65"/>
      <c r="B52" s="66"/>
      <c r="C52" s="66"/>
      <c r="D52" s="66"/>
      <c r="E52" s="66"/>
      <c r="F52" s="66"/>
      <c r="G52" s="63"/>
      <c r="H52" s="63"/>
      <c r="I52" s="63"/>
      <c r="J52" s="21"/>
      <c r="K52" s="21"/>
    </row>
    <row r="53" spans="1:11">
      <c r="A53" s="63"/>
      <c r="B53" s="63"/>
      <c r="C53" s="64"/>
      <c r="D53" s="63"/>
      <c r="E53" s="63"/>
      <c r="F53" s="63"/>
      <c r="G53" s="63"/>
      <c r="H53" s="63"/>
      <c r="I53" s="63"/>
      <c r="J53" s="21"/>
      <c r="K53" s="21"/>
    </row>
    <row r="54" spans="1:11" ht="13.8">
      <c r="A54" s="103" t="s">
        <v>135</v>
      </c>
      <c r="B54" s="65"/>
      <c r="C54" s="66"/>
      <c r="D54" s="66"/>
      <c r="E54" s="65"/>
      <c r="F54" s="66"/>
      <c r="G54" s="64"/>
      <c r="H54" s="67"/>
      <c r="I54" s="67"/>
      <c r="J54" s="9"/>
      <c r="K54" s="9"/>
    </row>
    <row r="55" spans="1:11" ht="13.8">
      <c r="A55" s="65"/>
      <c r="B55" s="156" t="s">
        <v>195</v>
      </c>
      <c r="C55" s="156" t="s">
        <v>154</v>
      </c>
      <c r="D55" s="109" t="s">
        <v>155</v>
      </c>
      <c r="E55" s="109" t="s">
        <v>156</v>
      </c>
      <c r="F55" s="157" t="s">
        <v>157</v>
      </c>
      <c r="G55" s="109" t="s">
        <v>158</v>
      </c>
      <c r="H55" s="67"/>
      <c r="I55" s="67"/>
      <c r="J55" s="9"/>
      <c r="K55" s="9"/>
    </row>
    <row r="56" spans="1:11" ht="13.8">
      <c r="A56" s="65"/>
      <c r="B56" s="119" t="s">
        <v>12</v>
      </c>
      <c r="C56" s="119" t="s">
        <v>136</v>
      </c>
      <c r="D56" s="114" t="s">
        <v>140</v>
      </c>
      <c r="E56" s="64" t="s">
        <v>143</v>
      </c>
      <c r="F56" s="81">
        <f>IF(F14="","",F14)</f>
        <v>141</v>
      </c>
      <c r="G56" s="159" t="str">
        <f t="shared" ref="G56:G119" si="6">IF(F56="","",CONCATENATE(C56,"_",D56,"_",E56))</f>
        <v>A1_B1_C1</v>
      </c>
      <c r="H56" s="67"/>
      <c r="I56" s="67"/>
      <c r="J56" s="9"/>
      <c r="K56" s="9"/>
    </row>
    <row r="57" spans="1:11" ht="13.8">
      <c r="A57" s="65"/>
      <c r="B57" s="84" t="s">
        <v>12</v>
      </c>
      <c r="C57" s="84" t="s">
        <v>136</v>
      </c>
      <c r="D57" s="115" t="s">
        <v>140</v>
      </c>
      <c r="E57" s="64" t="s">
        <v>144</v>
      </c>
      <c r="F57" s="82">
        <f>IF(F15="","",F15)</f>
        <v>190</v>
      </c>
      <c r="G57" s="158" t="str">
        <f t="shared" si="6"/>
        <v>A1_B1_C2</v>
      </c>
      <c r="H57" s="67"/>
      <c r="I57" s="67"/>
      <c r="J57" s="9"/>
      <c r="K57" s="9"/>
    </row>
    <row r="58" spans="1:11" ht="13.8">
      <c r="A58" s="65"/>
      <c r="B58" s="84" t="s">
        <v>12</v>
      </c>
      <c r="C58" s="84" t="s">
        <v>136</v>
      </c>
      <c r="D58" s="115" t="s">
        <v>141</v>
      </c>
      <c r="E58" s="64" t="s">
        <v>143</v>
      </c>
      <c r="F58" s="82">
        <f>IF(F16="","",F16)</f>
        <v>150</v>
      </c>
      <c r="G58" s="158" t="str">
        <f t="shared" si="6"/>
        <v>A1_B2_C1</v>
      </c>
      <c r="H58" s="67"/>
      <c r="I58" s="67"/>
      <c r="J58" s="9"/>
      <c r="K58" s="9"/>
    </row>
    <row r="59" spans="1:11" ht="13.8">
      <c r="A59" s="65"/>
      <c r="B59" s="84" t="s">
        <v>12</v>
      </c>
      <c r="C59" s="84" t="s">
        <v>136</v>
      </c>
      <c r="D59" s="115" t="s">
        <v>141</v>
      </c>
      <c r="E59" s="64" t="s">
        <v>144</v>
      </c>
      <c r="F59" s="82">
        <f>IF(F17="","",F17)</f>
        <v>180</v>
      </c>
      <c r="G59" s="158" t="str">
        <f t="shared" si="6"/>
        <v>A1_B2_C2</v>
      </c>
      <c r="H59" s="67"/>
      <c r="I59" s="67"/>
      <c r="J59" s="9"/>
      <c r="K59" s="9"/>
    </row>
    <row r="60" spans="1:11" ht="13.8">
      <c r="A60" s="65"/>
      <c r="B60" s="84" t="s">
        <v>12</v>
      </c>
      <c r="C60" s="84" t="s">
        <v>136</v>
      </c>
      <c r="D60" s="115" t="s">
        <v>142</v>
      </c>
      <c r="E60" s="64" t="s">
        <v>143</v>
      </c>
      <c r="F60" s="82">
        <f>IF(F18="","",F18)</f>
        <v>102.5</v>
      </c>
      <c r="G60" s="158" t="str">
        <f t="shared" si="6"/>
        <v>A1_B3_C1</v>
      </c>
      <c r="H60" s="67"/>
      <c r="I60" s="67"/>
      <c r="J60" s="9"/>
      <c r="K60" s="9"/>
    </row>
    <row r="61" spans="1:11" ht="13.8">
      <c r="A61" s="65"/>
      <c r="B61" s="84" t="s">
        <v>12</v>
      </c>
      <c r="C61" s="84" t="s">
        <v>136</v>
      </c>
      <c r="D61" s="115" t="s">
        <v>142</v>
      </c>
      <c r="E61" s="64" t="s">
        <v>144</v>
      </c>
      <c r="F61" s="82">
        <f>IF(F19="","",F19)</f>
        <v>135</v>
      </c>
      <c r="G61" s="158" t="str">
        <f t="shared" si="6"/>
        <v>A1_B3_C2</v>
      </c>
      <c r="H61" s="67"/>
      <c r="I61" s="67"/>
      <c r="J61" s="9"/>
      <c r="K61" s="9"/>
    </row>
    <row r="62" spans="1:11" ht="13.8">
      <c r="A62" s="65"/>
      <c r="B62" s="84" t="s">
        <v>12</v>
      </c>
      <c r="C62" s="84" t="s">
        <v>136</v>
      </c>
      <c r="D62" s="115" t="s">
        <v>150</v>
      </c>
      <c r="E62" s="64" t="s">
        <v>143</v>
      </c>
      <c r="F62" s="82">
        <f>IF(F20="","",F20)</f>
        <v>167.5</v>
      </c>
      <c r="G62" s="158" t="str">
        <f t="shared" si="6"/>
        <v>A1_B4_C1</v>
      </c>
      <c r="H62" s="67"/>
      <c r="I62" s="67"/>
      <c r="J62" s="9"/>
      <c r="K62" s="9"/>
    </row>
    <row r="63" spans="1:11" ht="13.8">
      <c r="A63" s="65"/>
      <c r="B63" s="84" t="s">
        <v>12</v>
      </c>
      <c r="C63" s="84" t="s">
        <v>136</v>
      </c>
      <c r="D63" s="115" t="s">
        <v>150</v>
      </c>
      <c r="E63" s="64" t="s">
        <v>144</v>
      </c>
      <c r="F63" s="82">
        <f>IF(F21="","",F21)</f>
        <v>200</v>
      </c>
      <c r="G63" s="158" t="str">
        <f t="shared" si="6"/>
        <v>A1_B4_C2</v>
      </c>
      <c r="H63" s="67"/>
      <c r="I63" s="67"/>
      <c r="J63" s="9"/>
      <c r="K63" s="9"/>
    </row>
    <row r="64" spans="1:11" ht="13.8">
      <c r="A64" s="65"/>
      <c r="B64" s="84" t="s">
        <v>12</v>
      </c>
      <c r="C64" s="84" t="s">
        <v>137</v>
      </c>
      <c r="D64" s="115" t="s">
        <v>140</v>
      </c>
      <c r="E64" s="64" t="s">
        <v>143</v>
      </c>
      <c r="F64" s="82">
        <f>IF(F22="","",F22)</f>
        <v>232.5</v>
      </c>
      <c r="G64" s="158" t="str">
        <f t="shared" si="6"/>
        <v>A2_B1_C1</v>
      </c>
      <c r="H64" s="67"/>
      <c r="I64" s="67"/>
      <c r="J64" s="9"/>
      <c r="K64" s="9"/>
    </row>
    <row r="65" spans="1:11" ht="13.8">
      <c r="A65" s="65"/>
      <c r="B65" s="84" t="s">
        <v>12</v>
      </c>
      <c r="C65" s="84" t="s">
        <v>137</v>
      </c>
      <c r="D65" s="115" t="s">
        <v>140</v>
      </c>
      <c r="E65" s="64" t="s">
        <v>144</v>
      </c>
      <c r="F65" s="82">
        <f>IF(F23="","",F23)</f>
        <v>265</v>
      </c>
      <c r="G65" s="158" t="str">
        <f t="shared" si="6"/>
        <v>A2_B1_C2</v>
      </c>
      <c r="H65" s="67"/>
      <c r="I65" s="67"/>
      <c r="J65" s="9"/>
      <c r="K65" s="9"/>
    </row>
    <row r="66" spans="1:11" ht="13.8">
      <c r="A66" s="65"/>
      <c r="B66" s="84" t="s">
        <v>12</v>
      </c>
      <c r="C66" s="84" t="s">
        <v>137</v>
      </c>
      <c r="D66" s="115" t="s">
        <v>141</v>
      </c>
      <c r="E66" s="64" t="s">
        <v>143</v>
      </c>
      <c r="F66" s="82">
        <f>IF(F24="","",F24)</f>
        <v>297.5</v>
      </c>
      <c r="G66" s="158" t="str">
        <f t="shared" si="6"/>
        <v>A2_B2_C1</v>
      </c>
      <c r="H66" s="67"/>
      <c r="I66" s="67"/>
      <c r="J66" s="9"/>
      <c r="K66" s="9"/>
    </row>
    <row r="67" spans="1:11" ht="13.8">
      <c r="A67" s="65"/>
      <c r="B67" s="84" t="s">
        <v>12</v>
      </c>
      <c r="C67" s="84" t="s">
        <v>137</v>
      </c>
      <c r="D67" s="115" t="s">
        <v>141</v>
      </c>
      <c r="E67" s="64" t="s">
        <v>144</v>
      </c>
      <c r="F67" s="82">
        <f>IF(F25="","",F25)</f>
        <v>330</v>
      </c>
      <c r="G67" s="158" t="str">
        <f t="shared" si="6"/>
        <v>A2_B2_C2</v>
      </c>
      <c r="H67" s="67"/>
      <c r="I67" s="67"/>
      <c r="J67" s="9"/>
      <c r="K67" s="9"/>
    </row>
    <row r="68" spans="1:11" ht="13.8">
      <c r="A68" s="65"/>
      <c r="B68" s="84" t="s">
        <v>12</v>
      </c>
      <c r="C68" s="84" t="s">
        <v>137</v>
      </c>
      <c r="D68" s="115" t="s">
        <v>142</v>
      </c>
      <c r="E68" s="64" t="s">
        <v>143</v>
      </c>
      <c r="F68" s="82">
        <f>IF(F26="","",F26)</f>
        <v>362.5</v>
      </c>
      <c r="G68" s="158" t="str">
        <f t="shared" si="6"/>
        <v>A2_B3_C1</v>
      </c>
      <c r="H68" s="67"/>
      <c r="I68" s="67"/>
      <c r="J68" s="9"/>
      <c r="K68" s="9"/>
    </row>
    <row r="69" spans="1:11" ht="13.8">
      <c r="A69" s="65"/>
      <c r="B69" s="84" t="s">
        <v>12</v>
      </c>
      <c r="C69" s="84" t="s">
        <v>137</v>
      </c>
      <c r="D69" s="115" t="s">
        <v>142</v>
      </c>
      <c r="E69" s="64" t="s">
        <v>144</v>
      </c>
      <c r="F69" s="82">
        <f>IF(F27="","",F27)</f>
        <v>395</v>
      </c>
      <c r="G69" s="158" t="str">
        <f t="shared" si="6"/>
        <v>A2_B3_C2</v>
      </c>
      <c r="H69" s="67"/>
      <c r="I69" s="67"/>
      <c r="J69" s="9"/>
      <c r="K69" s="9"/>
    </row>
    <row r="70" spans="1:11" ht="13.8">
      <c r="A70" s="67"/>
      <c r="B70" s="84" t="s">
        <v>12</v>
      </c>
      <c r="C70" s="84" t="s">
        <v>137</v>
      </c>
      <c r="D70" s="115" t="s">
        <v>150</v>
      </c>
      <c r="E70" s="64" t="s">
        <v>143</v>
      </c>
      <c r="F70" s="82">
        <f>IF(F28="","",F28)</f>
        <v>427.5</v>
      </c>
      <c r="G70" s="158" t="str">
        <f t="shared" si="6"/>
        <v>A2_B4_C1</v>
      </c>
      <c r="H70" s="67"/>
      <c r="I70" s="67"/>
      <c r="J70" s="9"/>
      <c r="K70" s="9"/>
    </row>
    <row r="71" spans="1:11" ht="13.8">
      <c r="A71" s="65"/>
      <c r="B71" s="84" t="s">
        <v>12</v>
      </c>
      <c r="C71" s="84" t="s">
        <v>137</v>
      </c>
      <c r="D71" s="115" t="s">
        <v>150</v>
      </c>
      <c r="E71" s="64" t="s">
        <v>144</v>
      </c>
      <c r="F71" s="82">
        <f>IF(F29="","",F29)</f>
        <v>460</v>
      </c>
      <c r="G71" s="158" t="str">
        <f t="shared" si="6"/>
        <v>A2_B4_C2</v>
      </c>
      <c r="H71" s="67"/>
      <c r="I71" s="67"/>
      <c r="J71" s="9"/>
      <c r="K71" s="9"/>
    </row>
    <row r="72" spans="1:11" ht="13.8">
      <c r="A72" s="65"/>
      <c r="B72" s="84" t="s">
        <v>12</v>
      </c>
      <c r="C72" s="84" t="s">
        <v>138</v>
      </c>
      <c r="D72" s="115" t="s">
        <v>140</v>
      </c>
      <c r="E72" s="64" t="s">
        <v>143</v>
      </c>
      <c r="F72" s="82">
        <f>IF(F30="","",F30)</f>
        <v>492.5</v>
      </c>
      <c r="G72" s="158" t="str">
        <f t="shared" si="6"/>
        <v>A3_B1_C1</v>
      </c>
      <c r="H72" s="67"/>
      <c r="I72" s="67"/>
      <c r="J72" s="9"/>
      <c r="K72" s="9"/>
    </row>
    <row r="73" spans="1:11" ht="13.8">
      <c r="A73" s="65"/>
      <c r="B73" s="84" t="s">
        <v>12</v>
      </c>
      <c r="C73" s="84" t="s">
        <v>138</v>
      </c>
      <c r="D73" s="115" t="s">
        <v>140</v>
      </c>
      <c r="E73" s="64" t="s">
        <v>144</v>
      </c>
      <c r="F73" s="82">
        <f>IF(F31="","",F31)</f>
        <v>525</v>
      </c>
      <c r="G73" s="158" t="str">
        <f t="shared" si="6"/>
        <v>A3_B1_C2</v>
      </c>
      <c r="H73" s="67"/>
      <c r="I73" s="67"/>
      <c r="J73" s="9"/>
      <c r="K73" s="9"/>
    </row>
    <row r="74" spans="1:11" ht="13.8">
      <c r="A74" s="65"/>
      <c r="B74" s="84" t="s">
        <v>12</v>
      </c>
      <c r="C74" s="84" t="s">
        <v>138</v>
      </c>
      <c r="D74" s="115" t="s">
        <v>141</v>
      </c>
      <c r="E74" s="64" t="s">
        <v>143</v>
      </c>
      <c r="F74" s="82">
        <f>IF(F32="","",F32)</f>
        <v>557.5</v>
      </c>
      <c r="G74" s="158" t="str">
        <f t="shared" si="6"/>
        <v>A3_B2_C1</v>
      </c>
      <c r="H74" s="67"/>
      <c r="I74" s="67"/>
      <c r="J74" s="9"/>
      <c r="K74" s="9"/>
    </row>
    <row r="75" spans="1:11" ht="13.8">
      <c r="A75" s="65"/>
      <c r="B75" s="84" t="s">
        <v>12</v>
      </c>
      <c r="C75" s="84" t="s">
        <v>138</v>
      </c>
      <c r="D75" s="115" t="s">
        <v>141</v>
      </c>
      <c r="E75" s="64" t="s">
        <v>144</v>
      </c>
      <c r="F75" s="82">
        <f>IF(F33="","",F33)</f>
        <v>590</v>
      </c>
      <c r="G75" s="158" t="str">
        <f t="shared" si="6"/>
        <v>A3_B2_C2</v>
      </c>
      <c r="H75" s="67"/>
      <c r="I75" s="67"/>
      <c r="J75" s="9"/>
      <c r="K75" s="9"/>
    </row>
    <row r="76" spans="1:11" ht="13.8">
      <c r="A76" s="65"/>
      <c r="B76" s="84" t="s">
        <v>12</v>
      </c>
      <c r="C76" s="84" t="s">
        <v>138</v>
      </c>
      <c r="D76" s="115" t="s">
        <v>142</v>
      </c>
      <c r="E76" s="64" t="s">
        <v>143</v>
      </c>
      <c r="F76" s="82">
        <f>IF(F34="","",F34)</f>
        <v>622.5</v>
      </c>
      <c r="G76" s="158" t="str">
        <f t="shared" si="6"/>
        <v>A3_B3_C1</v>
      </c>
      <c r="H76" s="67"/>
      <c r="I76" s="67"/>
      <c r="J76" s="9"/>
      <c r="K76" s="9"/>
    </row>
    <row r="77" spans="1:11" ht="13.8">
      <c r="A77" s="65"/>
      <c r="B77" s="84" t="s">
        <v>12</v>
      </c>
      <c r="C77" s="84" t="s">
        <v>138</v>
      </c>
      <c r="D77" s="115" t="s">
        <v>142</v>
      </c>
      <c r="E77" s="64" t="s">
        <v>144</v>
      </c>
      <c r="F77" s="82">
        <f>IF(F35="","",F35)</f>
        <v>655</v>
      </c>
      <c r="G77" s="158" t="str">
        <f t="shared" si="6"/>
        <v>A3_B3_C2</v>
      </c>
      <c r="H77" s="67"/>
      <c r="I77" s="67"/>
      <c r="J77" s="9"/>
      <c r="K77" s="9"/>
    </row>
    <row r="78" spans="1:11" ht="13.8">
      <c r="A78" s="65"/>
      <c r="B78" s="84" t="s">
        <v>12</v>
      </c>
      <c r="C78" s="84" t="s">
        <v>138</v>
      </c>
      <c r="D78" s="115" t="s">
        <v>150</v>
      </c>
      <c r="E78" s="64" t="s">
        <v>143</v>
      </c>
      <c r="F78" s="82">
        <f>IF(F36="","",F36)</f>
        <v>687.5</v>
      </c>
      <c r="G78" s="158" t="str">
        <f t="shared" si="6"/>
        <v>A3_B4_C1</v>
      </c>
      <c r="H78" s="67"/>
      <c r="I78" s="67"/>
      <c r="J78" s="9"/>
      <c r="K78" s="9"/>
    </row>
    <row r="79" spans="1:11" ht="13.8">
      <c r="A79" s="65"/>
      <c r="B79" s="84" t="s">
        <v>12</v>
      </c>
      <c r="C79" s="84" t="s">
        <v>138</v>
      </c>
      <c r="D79" s="115" t="s">
        <v>150</v>
      </c>
      <c r="E79" s="67" t="s">
        <v>144</v>
      </c>
      <c r="F79" s="82">
        <f>IF(F37="","",F37)</f>
        <v>720</v>
      </c>
      <c r="G79" s="158" t="str">
        <f t="shared" si="6"/>
        <v>A3_B4_C2</v>
      </c>
      <c r="H79" s="67"/>
      <c r="I79" s="67"/>
      <c r="J79" s="9"/>
      <c r="K79" s="9"/>
    </row>
    <row r="80" spans="1:11" ht="13.8">
      <c r="A80" s="65"/>
      <c r="B80" s="84" t="s">
        <v>12</v>
      </c>
      <c r="C80" s="84" t="s">
        <v>139</v>
      </c>
      <c r="D80" s="84" t="s">
        <v>140</v>
      </c>
      <c r="E80" s="67" t="s">
        <v>143</v>
      </c>
      <c r="F80" s="82">
        <f>IF(F38="","",F38)</f>
        <v>752.5</v>
      </c>
      <c r="G80" s="158" t="str">
        <f t="shared" si="6"/>
        <v>A4_B1_C1</v>
      </c>
      <c r="H80" s="67"/>
      <c r="I80" s="67"/>
      <c r="J80" s="9"/>
      <c r="K80" s="9"/>
    </row>
    <row r="81" spans="1:11" ht="13.8">
      <c r="A81" s="70"/>
      <c r="B81" s="120" t="s">
        <v>12</v>
      </c>
      <c r="C81" s="120" t="s">
        <v>139</v>
      </c>
      <c r="D81" s="116" t="s">
        <v>140</v>
      </c>
      <c r="E81" s="106" t="s">
        <v>144</v>
      </c>
      <c r="F81" s="82">
        <f>IF(F39="","",F39)</f>
        <v>785</v>
      </c>
      <c r="G81" s="158" t="str">
        <f t="shared" si="6"/>
        <v>A4_B1_C2</v>
      </c>
      <c r="H81" s="71"/>
      <c r="I81" s="67"/>
      <c r="J81" s="9"/>
      <c r="K81" s="9"/>
    </row>
    <row r="82" spans="1:11" ht="13.8">
      <c r="A82" s="72"/>
      <c r="B82" s="115" t="s">
        <v>12</v>
      </c>
      <c r="C82" s="115" t="s">
        <v>139</v>
      </c>
      <c r="D82" s="117" t="s">
        <v>141</v>
      </c>
      <c r="E82" s="104" t="s">
        <v>143</v>
      </c>
      <c r="F82" s="82">
        <f>IF(F40="","",F40)</f>
        <v>817.5</v>
      </c>
      <c r="G82" s="158" t="str">
        <f t="shared" si="6"/>
        <v>A4_B2_C1</v>
      </c>
      <c r="H82" s="75"/>
      <c r="I82" s="69"/>
      <c r="J82" s="33"/>
      <c r="K82" s="33"/>
    </row>
    <row r="83" spans="1:11" ht="13.8">
      <c r="A83" s="72"/>
      <c r="B83" s="115" t="s">
        <v>12</v>
      </c>
      <c r="C83" s="115" t="s">
        <v>139</v>
      </c>
      <c r="D83" s="117" t="s">
        <v>141</v>
      </c>
      <c r="E83" s="104" t="s">
        <v>144</v>
      </c>
      <c r="F83" s="82">
        <f>IF(F41="","",F41)</f>
        <v>850</v>
      </c>
      <c r="G83" s="158" t="str">
        <f t="shared" si="6"/>
        <v>A4_B2_C2</v>
      </c>
      <c r="H83" s="75"/>
      <c r="I83" s="69"/>
      <c r="J83" s="33"/>
      <c r="K83" s="33"/>
    </row>
    <row r="84" spans="1:11" ht="13.8">
      <c r="A84" s="72"/>
      <c r="B84" s="115" t="s">
        <v>12</v>
      </c>
      <c r="C84" s="115" t="s">
        <v>139</v>
      </c>
      <c r="D84" s="117" t="s">
        <v>142</v>
      </c>
      <c r="E84" s="104" t="s">
        <v>143</v>
      </c>
      <c r="F84" s="82">
        <f>IF(F42="","",F42)</f>
        <v>882.5</v>
      </c>
      <c r="G84" s="158" t="str">
        <f t="shared" si="6"/>
        <v>A4_B3_C1</v>
      </c>
      <c r="H84" s="75"/>
      <c r="I84" s="69"/>
      <c r="J84" s="33"/>
      <c r="K84" s="33"/>
    </row>
    <row r="85" spans="1:11" ht="13.8">
      <c r="A85" s="65"/>
      <c r="B85" s="115" t="s">
        <v>12</v>
      </c>
      <c r="C85" s="115" t="s">
        <v>139</v>
      </c>
      <c r="D85" s="117" t="s">
        <v>142</v>
      </c>
      <c r="E85" s="104" t="s">
        <v>144</v>
      </c>
      <c r="F85" s="82">
        <f>IF(F43="","",F43)</f>
        <v>915</v>
      </c>
      <c r="G85" s="158" t="str">
        <f t="shared" si="6"/>
        <v>A4_B3_C2</v>
      </c>
      <c r="H85" s="75"/>
      <c r="I85" s="69"/>
      <c r="J85" s="34"/>
      <c r="K85" s="34"/>
    </row>
    <row r="86" spans="1:11" ht="13.8">
      <c r="A86" s="65"/>
      <c r="B86" s="115" t="s">
        <v>12</v>
      </c>
      <c r="C86" s="115" t="s">
        <v>139</v>
      </c>
      <c r="D86" s="117" t="s">
        <v>150</v>
      </c>
      <c r="E86" s="104" t="s">
        <v>143</v>
      </c>
      <c r="F86" s="82">
        <f>IF(F44="","",F44)</f>
        <v>947.5</v>
      </c>
      <c r="G86" s="158" t="str">
        <f t="shared" si="6"/>
        <v>A4_B4_C1</v>
      </c>
      <c r="H86" s="75"/>
      <c r="I86" s="69"/>
      <c r="J86" s="34"/>
      <c r="K86" s="34"/>
    </row>
    <row r="87" spans="1:11" ht="13.8">
      <c r="A87" s="65"/>
      <c r="B87" s="121" t="s">
        <v>12</v>
      </c>
      <c r="C87" s="121" t="s">
        <v>139</v>
      </c>
      <c r="D87" s="118" t="s">
        <v>150</v>
      </c>
      <c r="E87" s="107" t="s">
        <v>144</v>
      </c>
      <c r="F87" s="83">
        <f>IF(F45="","",F45)</f>
        <v>980</v>
      </c>
      <c r="G87" s="160" t="str">
        <f t="shared" si="6"/>
        <v>A4_B4_C2</v>
      </c>
      <c r="H87" s="75"/>
      <c r="I87" s="69"/>
      <c r="J87" s="34"/>
      <c r="K87" s="34"/>
    </row>
    <row r="88" spans="1:11" ht="13.8">
      <c r="A88" s="65"/>
      <c r="B88" s="119" t="s">
        <v>13</v>
      </c>
      <c r="C88" s="84" t="s">
        <v>136</v>
      </c>
      <c r="D88" s="115" t="s">
        <v>140</v>
      </c>
      <c r="E88" s="64" t="s">
        <v>143</v>
      </c>
      <c r="F88" s="110" t="str">
        <f>IF(G14="","",G14)</f>
        <v/>
      </c>
      <c r="G88" s="159" t="str">
        <f t="shared" si="6"/>
        <v/>
      </c>
      <c r="H88" s="69"/>
      <c r="I88" s="69"/>
      <c r="J88" s="33"/>
      <c r="K88" s="33"/>
    </row>
    <row r="89" spans="1:11" ht="13.8">
      <c r="A89" s="65"/>
      <c r="B89" s="84" t="s">
        <v>13</v>
      </c>
      <c r="C89" s="84" t="s">
        <v>136</v>
      </c>
      <c r="D89" s="115" t="s">
        <v>140</v>
      </c>
      <c r="E89" s="64" t="s">
        <v>144</v>
      </c>
      <c r="F89" s="110" t="str">
        <f>IF(G15="","",G15)</f>
        <v/>
      </c>
      <c r="G89" s="158" t="str">
        <f t="shared" si="6"/>
        <v/>
      </c>
      <c r="H89" s="69"/>
      <c r="I89" s="69"/>
      <c r="J89" s="33"/>
      <c r="K89" s="33"/>
    </row>
    <row r="90" spans="1:11">
      <c r="A90" s="67"/>
      <c r="B90" s="84" t="s">
        <v>13</v>
      </c>
      <c r="C90" s="84" t="s">
        <v>136</v>
      </c>
      <c r="D90" s="115" t="s">
        <v>141</v>
      </c>
      <c r="E90" s="64" t="s">
        <v>143</v>
      </c>
      <c r="F90" s="110" t="str">
        <f>IF(G16="","",G16)</f>
        <v/>
      </c>
      <c r="G90" s="158" t="str">
        <f t="shared" si="6"/>
        <v/>
      </c>
      <c r="H90" s="67"/>
      <c r="I90" s="67"/>
      <c r="J90" s="9"/>
      <c r="K90" s="9"/>
    </row>
    <row r="91" spans="1:11">
      <c r="A91" s="69"/>
      <c r="B91" s="84" t="s">
        <v>13</v>
      </c>
      <c r="C91" s="84" t="s">
        <v>136</v>
      </c>
      <c r="D91" s="115" t="s">
        <v>141</v>
      </c>
      <c r="E91" s="64" t="s">
        <v>144</v>
      </c>
      <c r="F91" s="110" t="str">
        <f>IF(G17="","",G17)</f>
        <v/>
      </c>
      <c r="G91" s="158" t="str">
        <f t="shared" si="6"/>
        <v/>
      </c>
      <c r="H91" s="69"/>
      <c r="I91" s="69"/>
      <c r="J91" s="33"/>
      <c r="K91" s="33"/>
    </row>
    <row r="92" spans="1:11">
      <c r="A92" s="33"/>
      <c r="B92" s="84" t="s">
        <v>13</v>
      </c>
      <c r="C92" s="84" t="s">
        <v>136</v>
      </c>
      <c r="D92" s="115" t="s">
        <v>142</v>
      </c>
      <c r="E92" s="64" t="s">
        <v>143</v>
      </c>
      <c r="F92" s="110" t="str">
        <f>IF(G18="","",G18)</f>
        <v/>
      </c>
      <c r="G92" s="158" t="str">
        <f t="shared" si="6"/>
        <v/>
      </c>
      <c r="H92" s="33"/>
      <c r="I92" s="33"/>
      <c r="J92" s="33"/>
      <c r="K92" s="33"/>
    </row>
    <row r="93" spans="1:11">
      <c r="A93" s="33"/>
      <c r="B93" s="84" t="s">
        <v>13</v>
      </c>
      <c r="C93" s="84" t="s">
        <v>136</v>
      </c>
      <c r="D93" s="115" t="s">
        <v>142</v>
      </c>
      <c r="E93" s="64" t="s">
        <v>144</v>
      </c>
      <c r="F93" s="110" t="str">
        <f>IF(G19="","",G19)</f>
        <v/>
      </c>
      <c r="G93" s="158" t="str">
        <f t="shared" si="6"/>
        <v/>
      </c>
      <c r="H93" s="33"/>
      <c r="I93" s="33"/>
      <c r="J93" s="33"/>
      <c r="K93" s="33"/>
    </row>
    <row r="94" spans="1:11">
      <c r="B94" s="84" t="s">
        <v>13</v>
      </c>
      <c r="C94" s="84" t="s">
        <v>136</v>
      </c>
      <c r="D94" s="115" t="s">
        <v>150</v>
      </c>
      <c r="E94" s="64" t="s">
        <v>143</v>
      </c>
      <c r="F94" s="110" t="str">
        <f>IF(G20="","",G20)</f>
        <v/>
      </c>
      <c r="G94" s="158" t="str">
        <f t="shared" si="6"/>
        <v/>
      </c>
    </row>
    <row r="95" spans="1:11">
      <c r="B95" s="84" t="s">
        <v>13</v>
      </c>
      <c r="C95" s="84" t="s">
        <v>136</v>
      </c>
      <c r="D95" s="115" t="s">
        <v>150</v>
      </c>
      <c r="E95" s="64" t="s">
        <v>144</v>
      </c>
      <c r="F95" s="110" t="str">
        <f>IF(G21="","",G21)</f>
        <v/>
      </c>
      <c r="G95" s="158" t="str">
        <f t="shared" si="6"/>
        <v/>
      </c>
    </row>
    <row r="96" spans="1:11">
      <c r="B96" s="84" t="s">
        <v>13</v>
      </c>
      <c r="C96" s="84" t="s">
        <v>137</v>
      </c>
      <c r="D96" s="115" t="s">
        <v>140</v>
      </c>
      <c r="E96" s="64" t="s">
        <v>143</v>
      </c>
      <c r="F96" s="110" t="str">
        <f>IF(G22="","",G22)</f>
        <v/>
      </c>
      <c r="G96" s="158" t="str">
        <f t="shared" si="6"/>
        <v/>
      </c>
    </row>
    <row r="97" spans="2:7">
      <c r="B97" s="84" t="s">
        <v>13</v>
      </c>
      <c r="C97" s="84" t="s">
        <v>137</v>
      </c>
      <c r="D97" s="115" t="s">
        <v>140</v>
      </c>
      <c r="E97" s="64" t="s">
        <v>144</v>
      </c>
      <c r="F97" s="110" t="str">
        <f>IF(G23="","",G23)</f>
        <v/>
      </c>
      <c r="G97" s="158" t="str">
        <f t="shared" si="6"/>
        <v/>
      </c>
    </row>
    <row r="98" spans="2:7">
      <c r="B98" s="84" t="s">
        <v>13</v>
      </c>
      <c r="C98" s="84" t="s">
        <v>137</v>
      </c>
      <c r="D98" s="115" t="s">
        <v>141</v>
      </c>
      <c r="E98" s="64" t="s">
        <v>143</v>
      </c>
      <c r="F98" s="110" t="str">
        <f>IF(G24="","",G24)</f>
        <v/>
      </c>
      <c r="G98" s="158" t="str">
        <f t="shared" si="6"/>
        <v/>
      </c>
    </row>
    <row r="99" spans="2:7">
      <c r="B99" s="84" t="s">
        <v>13</v>
      </c>
      <c r="C99" s="84" t="s">
        <v>137</v>
      </c>
      <c r="D99" s="115" t="s">
        <v>141</v>
      </c>
      <c r="E99" s="64" t="s">
        <v>144</v>
      </c>
      <c r="F99" s="110" t="str">
        <f>IF(G25="","",G25)</f>
        <v/>
      </c>
      <c r="G99" s="158" t="str">
        <f t="shared" si="6"/>
        <v/>
      </c>
    </row>
    <row r="100" spans="2:7">
      <c r="B100" s="84" t="s">
        <v>13</v>
      </c>
      <c r="C100" s="84" t="s">
        <v>137</v>
      </c>
      <c r="D100" s="115" t="s">
        <v>142</v>
      </c>
      <c r="E100" s="64" t="s">
        <v>143</v>
      </c>
      <c r="F100" s="110" t="str">
        <f>IF(G26="","",G26)</f>
        <v/>
      </c>
      <c r="G100" s="158" t="str">
        <f t="shared" si="6"/>
        <v/>
      </c>
    </row>
    <row r="101" spans="2:7">
      <c r="B101" s="84" t="s">
        <v>13</v>
      </c>
      <c r="C101" s="84" t="s">
        <v>137</v>
      </c>
      <c r="D101" s="115" t="s">
        <v>142</v>
      </c>
      <c r="E101" s="64" t="s">
        <v>144</v>
      </c>
      <c r="F101" s="110" t="str">
        <f>IF(G27="","",G27)</f>
        <v/>
      </c>
      <c r="G101" s="158" t="str">
        <f t="shared" si="6"/>
        <v/>
      </c>
    </row>
    <row r="102" spans="2:7">
      <c r="B102" s="84" t="s">
        <v>13</v>
      </c>
      <c r="C102" s="84" t="s">
        <v>137</v>
      </c>
      <c r="D102" s="115" t="s">
        <v>150</v>
      </c>
      <c r="E102" s="64" t="s">
        <v>143</v>
      </c>
      <c r="F102" s="110" t="str">
        <f>IF(G28="","",G28)</f>
        <v/>
      </c>
      <c r="G102" s="158" t="str">
        <f t="shared" si="6"/>
        <v/>
      </c>
    </row>
    <row r="103" spans="2:7">
      <c r="B103" s="84" t="s">
        <v>13</v>
      </c>
      <c r="C103" s="84" t="s">
        <v>137</v>
      </c>
      <c r="D103" s="115" t="s">
        <v>150</v>
      </c>
      <c r="E103" s="64" t="s">
        <v>144</v>
      </c>
      <c r="F103" s="110" t="str">
        <f>IF(G29="","",G29)</f>
        <v/>
      </c>
      <c r="G103" s="158" t="str">
        <f t="shared" si="6"/>
        <v/>
      </c>
    </row>
    <row r="104" spans="2:7">
      <c r="B104" s="84" t="s">
        <v>13</v>
      </c>
      <c r="C104" s="84" t="s">
        <v>138</v>
      </c>
      <c r="D104" s="115" t="s">
        <v>140</v>
      </c>
      <c r="E104" s="64" t="s">
        <v>143</v>
      </c>
      <c r="F104" s="110" t="str">
        <f>IF(G30="","",G30)</f>
        <v/>
      </c>
      <c r="G104" s="158" t="str">
        <f t="shared" si="6"/>
        <v/>
      </c>
    </row>
    <row r="105" spans="2:7">
      <c r="B105" s="84" t="s">
        <v>13</v>
      </c>
      <c r="C105" s="84" t="s">
        <v>138</v>
      </c>
      <c r="D105" s="115" t="s">
        <v>140</v>
      </c>
      <c r="E105" s="64" t="s">
        <v>144</v>
      </c>
      <c r="F105" s="110" t="str">
        <f>IF(G31="","",G31)</f>
        <v/>
      </c>
      <c r="G105" s="158" t="str">
        <f t="shared" si="6"/>
        <v/>
      </c>
    </row>
    <row r="106" spans="2:7">
      <c r="B106" s="84" t="s">
        <v>13</v>
      </c>
      <c r="C106" s="84" t="s">
        <v>138</v>
      </c>
      <c r="D106" s="115" t="s">
        <v>141</v>
      </c>
      <c r="E106" s="64" t="s">
        <v>143</v>
      </c>
      <c r="F106" s="110" t="str">
        <f>IF(G32="","",G32)</f>
        <v/>
      </c>
      <c r="G106" s="158" t="str">
        <f t="shared" si="6"/>
        <v/>
      </c>
    </row>
    <row r="107" spans="2:7">
      <c r="B107" s="84" t="s">
        <v>13</v>
      </c>
      <c r="C107" s="84" t="s">
        <v>138</v>
      </c>
      <c r="D107" s="115" t="s">
        <v>141</v>
      </c>
      <c r="E107" s="64" t="s">
        <v>144</v>
      </c>
      <c r="F107" s="110" t="str">
        <f>IF(G33="","",G33)</f>
        <v/>
      </c>
      <c r="G107" s="158" t="str">
        <f t="shared" si="6"/>
        <v/>
      </c>
    </row>
    <row r="108" spans="2:7">
      <c r="B108" s="84" t="s">
        <v>13</v>
      </c>
      <c r="C108" s="84" t="s">
        <v>138</v>
      </c>
      <c r="D108" s="115" t="s">
        <v>142</v>
      </c>
      <c r="E108" s="64" t="s">
        <v>143</v>
      </c>
      <c r="F108" s="110" t="str">
        <f>IF(G34="","",G34)</f>
        <v/>
      </c>
      <c r="G108" s="158" t="str">
        <f t="shared" si="6"/>
        <v/>
      </c>
    </row>
    <row r="109" spans="2:7">
      <c r="B109" s="84" t="s">
        <v>13</v>
      </c>
      <c r="C109" s="84" t="s">
        <v>138</v>
      </c>
      <c r="D109" s="115" t="s">
        <v>142</v>
      </c>
      <c r="E109" s="64" t="s">
        <v>144</v>
      </c>
      <c r="F109" s="110" t="str">
        <f>IF(G35="","",G35)</f>
        <v/>
      </c>
      <c r="G109" s="158" t="str">
        <f t="shared" si="6"/>
        <v/>
      </c>
    </row>
    <row r="110" spans="2:7">
      <c r="B110" s="84" t="s">
        <v>13</v>
      </c>
      <c r="C110" s="84" t="s">
        <v>138</v>
      </c>
      <c r="D110" s="115" t="s">
        <v>150</v>
      </c>
      <c r="E110" s="64" t="s">
        <v>143</v>
      </c>
      <c r="F110" s="110" t="str">
        <f>IF(G36="","",G36)</f>
        <v/>
      </c>
      <c r="G110" s="158" t="str">
        <f t="shared" si="6"/>
        <v/>
      </c>
    </row>
    <row r="111" spans="2:7">
      <c r="B111" s="84" t="s">
        <v>13</v>
      </c>
      <c r="C111" s="84" t="s">
        <v>138</v>
      </c>
      <c r="D111" s="115" t="s">
        <v>150</v>
      </c>
      <c r="E111" s="67" t="s">
        <v>144</v>
      </c>
      <c r="F111" s="110" t="str">
        <f>IF(G37="","",G37)</f>
        <v/>
      </c>
      <c r="G111" s="158" t="str">
        <f t="shared" si="6"/>
        <v/>
      </c>
    </row>
    <row r="112" spans="2:7">
      <c r="B112" s="84" t="s">
        <v>13</v>
      </c>
      <c r="C112" s="84" t="s">
        <v>139</v>
      </c>
      <c r="D112" s="84" t="s">
        <v>140</v>
      </c>
      <c r="E112" s="67" t="s">
        <v>143</v>
      </c>
      <c r="F112" s="110" t="str">
        <f>IF(G38="","",G38)</f>
        <v/>
      </c>
      <c r="G112" s="158" t="str">
        <f t="shared" si="6"/>
        <v/>
      </c>
    </row>
    <row r="113" spans="2:7">
      <c r="B113" s="120" t="s">
        <v>13</v>
      </c>
      <c r="C113" s="120" t="s">
        <v>139</v>
      </c>
      <c r="D113" s="116" t="s">
        <v>140</v>
      </c>
      <c r="E113" s="106" t="s">
        <v>144</v>
      </c>
      <c r="F113" s="110" t="str">
        <f>IF(G39="","",G39)</f>
        <v/>
      </c>
      <c r="G113" s="158" t="str">
        <f t="shared" si="6"/>
        <v/>
      </c>
    </row>
    <row r="114" spans="2:7">
      <c r="B114" s="115" t="s">
        <v>13</v>
      </c>
      <c r="C114" s="115" t="s">
        <v>139</v>
      </c>
      <c r="D114" s="117" t="s">
        <v>141</v>
      </c>
      <c r="E114" s="104" t="s">
        <v>143</v>
      </c>
      <c r="F114" s="110" t="str">
        <f>IF(G40="","",G40)</f>
        <v/>
      </c>
      <c r="G114" s="158" t="str">
        <f t="shared" si="6"/>
        <v/>
      </c>
    </row>
    <row r="115" spans="2:7">
      <c r="B115" s="115" t="s">
        <v>13</v>
      </c>
      <c r="C115" s="115" t="s">
        <v>139</v>
      </c>
      <c r="D115" s="117" t="s">
        <v>141</v>
      </c>
      <c r="E115" s="104" t="s">
        <v>144</v>
      </c>
      <c r="F115" s="110" t="str">
        <f>IF(G41="","",G41)</f>
        <v/>
      </c>
      <c r="G115" s="158" t="str">
        <f t="shared" si="6"/>
        <v/>
      </c>
    </row>
    <row r="116" spans="2:7">
      <c r="B116" s="115" t="s">
        <v>13</v>
      </c>
      <c r="C116" s="115" t="s">
        <v>139</v>
      </c>
      <c r="D116" s="117" t="s">
        <v>142</v>
      </c>
      <c r="E116" s="104" t="s">
        <v>143</v>
      </c>
      <c r="F116" s="110" t="str">
        <f>IF(G42="","",G42)</f>
        <v/>
      </c>
      <c r="G116" s="158" t="str">
        <f t="shared" si="6"/>
        <v/>
      </c>
    </row>
    <row r="117" spans="2:7">
      <c r="B117" s="115" t="s">
        <v>13</v>
      </c>
      <c r="C117" s="115" t="s">
        <v>139</v>
      </c>
      <c r="D117" s="117" t="s">
        <v>142</v>
      </c>
      <c r="E117" s="104" t="s">
        <v>144</v>
      </c>
      <c r="F117" s="110" t="str">
        <f>IF(G43="","",G43)</f>
        <v/>
      </c>
      <c r="G117" s="158" t="str">
        <f t="shared" si="6"/>
        <v/>
      </c>
    </row>
    <row r="118" spans="2:7">
      <c r="B118" s="115" t="s">
        <v>13</v>
      </c>
      <c r="C118" s="115" t="s">
        <v>139</v>
      </c>
      <c r="D118" s="117" t="s">
        <v>150</v>
      </c>
      <c r="E118" s="104" t="s">
        <v>143</v>
      </c>
      <c r="F118" s="110" t="str">
        <f>IF(G44="","",G44)</f>
        <v/>
      </c>
      <c r="G118" s="158" t="str">
        <f t="shared" si="6"/>
        <v/>
      </c>
    </row>
    <row r="119" spans="2:7">
      <c r="B119" s="121" t="s">
        <v>13</v>
      </c>
      <c r="C119" s="121" t="s">
        <v>139</v>
      </c>
      <c r="D119" s="118" t="s">
        <v>150</v>
      </c>
      <c r="E119" s="107" t="s">
        <v>144</v>
      </c>
      <c r="F119" s="111" t="str">
        <f>IF(G45="","",G45)</f>
        <v/>
      </c>
      <c r="G119" s="160" t="str">
        <f t="shared" si="6"/>
        <v/>
      </c>
    </row>
    <row r="120" spans="2:7">
      <c r="B120" s="119" t="s">
        <v>14</v>
      </c>
      <c r="C120" s="84" t="s">
        <v>136</v>
      </c>
      <c r="D120" s="115" t="s">
        <v>140</v>
      </c>
      <c r="E120" s="64" t="s">
        <v>143</v>
      </c>
      <c r="F120" s="112" t="str">
        <f>IF(H14="","",H14)</f>
        <v/>
      </c>
      <c r="G120" s="159" t="str">
        <f t="shared" ref="G120:G183" si="7">IF(F120="","",CONCATENATE(C120,"_",D120,"_",E120))</f>
        <v/>
      </c>
    </row>
    <row r="121" spans="2:7">
      <c r="B121" s="84" t="s">
        <v>14</v>
      </c>
      <c r="C121" s="84" t="s">
        <v>136</v>
      </c>
      <c r="D121" s="115" t="s">
        <v>140</v>
      </c>
      <c r="E121" s="64" t="s">
        <v>144</v>
      </c>
      <c r="F121" s="112" t="str">
        <f>IF(H15="","",H15)</f>
        <v/>
      </c>
      <c r="G121" s="158" t="str">
        <f t="shared" si="7"/>
        <v/>
      </c>
    </row>
    <row r="122" spans="2:7">
      <c r="B122" s="84" t="s">
        <v>14</v>
      </c>
      <c r="C122" s="84" t="s">
        <v>136</v>
      </c>
      <c r="D122" s="115" t="s">
        <v>141</v>
      </c>
      <c r="E122" s="64" t="s">
        <v>143</v>
      </c>
      <c r="F122" s="112" t="str">
        <f>IF(H16="","",H16)</f>
        <v/>
      </c>
      <c r="G122" s="158" t="str">
        <f t="shared" si="7"/>
        <v/>
      </c>
    </row>
    <row r="123" spans="2:7">
      <c r="B123" s="84" t="s">
        <v>14</v>
      </c>
      <c r="C123" s="84" t="s">
        <v>136</v>
      </c>
      <c r="D123" s="115" t="s">
        <v>141</v>
      </c>
      <c r="E123" s="64" t="s">
        <v>144</v>
      </c>
      <c r="F123" s="112" t="str">
        <f>IF(H17="","",H17)</f>
        <v/>
      </c>
      <c r="G123" s="158" t="str">
        <f t="shared" si="7"/>
        <v/>
      </c>
    </row>
    <row r="124" spans="2:7">
      <c r="B124" s="84" t="s">
        <v>14</v>
      </c>
      <c r="C124" s="84" t="s">
        <v>136</v>
      </c>
      <c r="D124" s="115" t="s">
        <v>142</v>
      </c>
      <c r="E124" s="64" t="s">
        <v>143</v>
      </c>
      <c r="F124" s="112" t="str">
        <f>IF(H18="","",H18)</f>
        <v/>
      </c>
      <c r="G124" s="158" t="str">
        <f t="shared" si="7"/>
        <v/>
      </c>
    </row>
    <row r="125" spans="2:7">
      <c r="B125" s="84" t="s">
        <v>14</v>
      </c>
      <c r="C125" s="84" t="s">
        <v>136</v>
      </c>
      <c r="D125" s="115" t="s">
        <v>142</v>
      </c>
      <c r="E125" s="64" t="s">
        <v>144</v>
      </c>
      <c r="F125" s="112" t="str">
        <f>IF(H19="","",H19)</f>
        <v/>
      </c>
      <c r="G125" s="158" t="str">
        <f t="shared" si="7"/>
        <v/>
      </c>
    </row>
    <row r="126" spans="2:7">
      <c r="B126" s="84" t="s">
        <v>14</v>
      </c>
      <c r="C126" s="84" t="s">
        <v>136</v>
      </c>
      <c r="D126" s="115" t="s">
        <v>150</v>
      </c>
      <c r="E126" s="64" t="s">
        <v>143</v>
      </c>
      <c r="F126" s="112" t="str">
        <f>IF(H20="","",H20)</f>
        <v/>
      </c>
      <c r="G126" s="158" t="str">
        <f t="shared" si="7"/>
        <v/>
      </c>
    </row>
    <row r="127" spans="2:7">
      <c r="B127" s="84" t="s">
        <v>14</v>
      </c>
      <c r="C127" s="84" t="s">
        <v>136</v>
      </c>
      <c r="D127" s="115" t="s">
        <v>150</v>
      </c>
      <c r="E127" s="64" t="s">
        <v>144</v>
      </c>
      <c r="F127" s="112" t="str">
        <f>IF(H21="","",H21)</f>
        <v/>
      </c>
      <c r="G127" s="158" t="str">
        <f t="shared" si="7"/>
        <v/>
      </c>
    </row>
    <row r="128" spans="2:7">
      <c r="B128" s="84" t="s">
        <v>14</v>
      </c>
      <c r="C128" s="84" t="s">
        <v>137</v>
      </c>
      <c r="D128" s="115" t="s">
        <v>140</v>
      </c>
      <c r="E128" s="64" t="s">
        <v>143</v>
      </c>
      <c r="F128" s="112" t="str">
        <f>IF(H22="","",H22)</f>
        <v/>
      </c>
      <c r="G128" s="158" t="str">
        <f t="shared" si="7"/>
        <v/>
      </c>
    </row>
    <row r="129" spans="2:7">
      <c r="B129" s="84" t="s">
        <v>14</v>
      </c>
      <c r="C129" s="84" t="s">
        <v>137</v>
      </c>
      <c r="D129" s="115" t="s">
        <v>140</v>
      </c>
      <c r="E129" s="64" t="s">
        <v>144</v>
      </c>
      <c r="F129" s="112" t="str">
        <f>IF(H23="","",H23)</f>
        <v/>
      </c>
      <c r="G129" s="158" t="str">
        <f t="shared" si="7"/>
        <v/>
      </c>
    </row>
    <row r="130" spans="2:7">
      <c r="B130" s="84" t="s">
        <v>14</v>
      </c>
      <c r="C130" s="84" t="s">
        <v>137</v>
      </c>
      <c r="D130" s="115" t="s">
        <v>141</v>
      </c>
      <c r="E130" s="64" t="s">
        <v>143</v>
      </c>
      <c r="F130" s="112" t="str">
        <f>IF(H24="","",H24)</f>
        <v/>
      </c>
      <c r="G130" s="158" t="str">
        <f t="shared" si="7"/>
        <v/>
      </c>
    </row>
    <row r="131" spans="2:7">
      <c r="B131" s="84" t="s">
        <v>14</v>
      </c>
      <c r="C131" s="84" t="s">
        <v>137</v>
      </c>
      <c r="D131" s="115" t="s">
        <v>141</v>
      </c>
      <c r="E131" s="64" t="s">
        <v>144</v>
      </c>
      <c r="F131" s="112" t="str">
        <f>IF(H25="","",H25)</f>
        <v/>
      </c>
      <c r="G131" s="158" t="str">
        <f t="shared" si="7"/>
        <v/>
      </c>
    </row>
    <row r="132" spans="2:7">
      <c r="B132" s="84" t="s">
        <v>14</v>
      </c>
      <c r="C132" s="84" t="s">
        <v>137</v>
      </c>
      <c r="D132" s="115" t="s">
        <v>142</v>
      </c>
      <c r="E132" s="64" t="s">
        <v>143</v>
      </c>
      <c r="F132" s="112" t="str">
        <f>IF(H26="","",H26)</f>
        <v/>
      </c>
      <c r="G132" s="158" t="str">
        <f t="shared" si="7"/>
        <v/>
      </c>
    </row>
    <row r="133" spans="2:7">
      <c r="B133" s="84" t="s">
        <v>14</v>
      </c>
      <c r="C133" s="84" t="s">
        <v>137</v>
      </c>
      <c r="D133" s="115" t="s">
        <v>142</v>
      </c>
      <c r="E133" s="64" t="s">
        <v>144</v>
      </c>
      <c r="F133" s="112" t="str">
        <f>IF(H27="","",H27)</f>
        <v/>
      </c>
      <c r="G133" s="158" t="str">
        <f t="shared" si="7"/>
        <v/>
      </c>
    </row>
    <row r="134" spans="2:7">
      <c r="B134" s="84" t="s">
        <v>14</v>
      </c>
      <c r="C134" s="84" t="s">
        <v>137</v>
      </c>
      <c r="D134" s="115" t="s">
        <v>150</v>
      </c>
      <c r="E134" s="64" t="s">
        <v>143</v>
      </c>
      <c r="F134" s="112" t="str">
        <f>IF(H28="","",H28)</f>
        <v/>
      </c>
      <c r="G134" s="158" t="str">
        <f t="shared" si="7"/>
        <v/>
      </c>
    </row>
    <row r="135" spans="2:7">
      <c r="B135" s="84" t="s">
        <v>14</v>
      </c>
      <c r="C135" s="84" t="s">
        <v>137</v>
      </c>
      <c r="D135" s="115" t="s">
        <v>150</v>
      </c>
      <c r="E135" s="64" t="s">
        <v>144</v>
      </c>
      <c r="F135" s="112" t="str">
        <f>IF(H29="","",H29)</f>
        <v/>
      </c>
      <c r="G135" s="158" t="str">
        <f t="shared" si="7"/>
        <v/>
      </c>
    </row>
    <row r="136" spans="2:7">
      <c r="B136" s="84" t="s">
        <v>14</v>
      </c>
      <c r="C136" s="84" t="s">
        <v>138</v>
      </c>
      <c r="D136" s="115" t="s">
        <v>140</v>
      </c>
      <c r="E136" s="64" t="s">
        <v>143</v>
      </c>
      <c r="F136" s="112" t="str">
        <f>IF(H30="","",H30)</f>
        <v/>
      </c>
      <c r="G136" s="158" t="str">
        <f t="shared" si="7"/>
        <v/>
      </c>
    </row>
    <row r="137" spans="2:7">
      <c r="B137" s="84" t="s">
        <v>14</v>
      </c>
      <c r="C137" s="84" t="s">
        <v>138</v>
      </c>
      <c r="D137" s="115" t="s">
        <v>140</v>
      </c>
      <c r="E137" s="64" t="s">
        <v>144</v>
      </c>
      <c r="F137" s="112" t="str">
        <f>IF(H31="","",H31)</f>
        <v/>
      </c>
      <c r="G137" s="158" t="str">
        <f t="shared" si="7"/>
        <v/>
      </c>
    </row>
    <row r="138" spans="2:7">
      <c r="B138" s="84" t="s">
        <v>14</v>
      </c>
      <c r="C138" s="84" t="s">
        <v>138</v>
      </c>
      <c r="D138" s="115" t="s">
        <v>141</v>
      </c>
      <c r="E138" s="64" t="s">
        <v>143</v>
      </c>
      <c r="F138" s="112" t="str">
        <f>IF(H32="","",H32)</f>
        <v/>
      </c>
      <c r="G138" s="158" t="str">
        <f t="shared" si="7"/>
        <v/>
      </c>
    </row>
    <row r="139" spans="2:7">
      <c r="B139" s="84" t="s">
        <v>14</v>
      </c>
      <c r="C139" s="84" t="s">
        <v>138</v>
      </c>
      <c r="D139" s="115" t="s">
        <v>141</v>
      </c>
      <c r="E139" s="64" t="s">
        <v>144</v>
      </c>
      <c r="F139" s="112" t="str">
        <f>IF(H33="","",H33)</f>
        <v/>
      </c>
      <c r="G139" s="158" t="str">
        <f t="shared" si="7"/>
        <v/>
      </c>
    </row>
    <row r="140" spans="2:7">
      <c r="B140" s="84" t="s">
        <v>14</v>
      </c>
      <c r="C140" s="84" t="s">
        <v>138</v>
      </c>
      <c r="D140" s="115" t="s">
        <v>142</v>
      </c>
      <c r="E140" s="64" t="s">
        <v>143</v>
      </c>
      <c r="F140" s="112" t="str">
        <f>IF(H34="","",H34)</f>
        <v/>
      </c>
      <c r="G140" s="158" t="str">
        <f t="shared" si="7"/>
        <v/>
      </c>
    </row>
    <row r="141" spans="2:7">
      <c r="B141" s="84" t="s">
        <v>14</v>
      </c>
      <c r="C141" s="84" t="s">
        <v>138</v>
      </c>
      <c r="D141" s="115" t="s">
        <v>142</v>
      </c>
      <c r="E141" s="64" t="s">
        <v>144</v>
      </c>
      <c r="F141" s="112" t="str">
        <f>IF(H35="","",H35)</f>
        <v/>
      </c>
      <c r="G141" s="158" t="str">
        <f t="shared" si="7"/>
        <v/>
      </c>
    </row>
    <row r="142" spans="2:7">
      <c r="B142" s="84" t="s">
        <v>14</v>
      </c>
      <c r="C142" s="84" t="s">
        <v>138</v>
      </c>
      <c r="D142" s="115" t="s">
        <v>150</v>
      </c>
      <c r="E142" s="64" t="s">
        <v>143</v>
      </c>
      <c r="F142" s="112" t="str">
        <f>IF(H36="","",H36)</f>
        <v/>
      </c>
      <c r="G142" s="158" t="str">
        <f t="shared" si="7"/>
        <v/>
      </c>
    </row>
    <row r="143" spans="2:7">
      <c r="B143" s="84" t="s">
        <v>14</v>
      </c>
      <c r="C143" s="84" t="s">
        <v>138</v>
      </c>
      <c r="D143" s="115" t="s">
        <v>150</v>
      </c>
      <c r="E143" s="67" t="s">
        <v>144</v>
      </c>
      <c r="F143" s="112" t="str">
        <f>IF(H37="","",H37)</f>
        <v/>
      </c>
      <c r="G143" s="158" t="str">
        <f t="shared" si="7"/>
        <v/>
      </c>
    </row>
    <row r="144" spans="2:7">
      <c r="B144" s="84" t="s">
        <v>14</v>
      </c>
      <c r="C144" s="84" t="s">
        <v>139</v>
      </c>
      <c r="D144" s="84" t="s">
        <v>140</v>
      </c>
      <c r="E144" s="67" t="s">
        <v>143</v>
      </c>
      <c r="F144" s="112" t="str">
        <f>IF(H38="","",H38)</f>
        <v/>
      </c>
      <c r="G144" s="158" t="str">
        <f t="shared" si="7"/>
        <v/>
      </c>
    </row>
    <row r="145" spans="2:7">
      <c r="B145" s="120" t="s">
        <v>14</v>
      </c>
      <c r="C145" s="120" t="s">
        <v>139</v>
      </c>
      <c r="D145" s="116" t="s">
        <v>140</v>
      </c>
      <c r="E145" s="106" t="s">
        <v>144</v>
      </c>
      <c r="F145" s="112" t="str">
        <f>IF(H39="","",H39)</f>
        <v/>
      </c>
      <c r="G145" s="158" t="str">
        <f t="shared" si="7"/>
        <v/>
      </c>
    </row>
    <row r="146" spans="2:7">
      <c r="B146" s="115" t="s">
        <v>14</v>
      </c>
      <c r="C146" s="115" t="s">
        <v>139</v>
      </c>
      <c r="D146" s="117" t="s">
        <v>141</v>
      </c>
      <c r="E146" s="104" t="s">
        <v>143</v>
      </c>
      <c r="F146" s="112" t="str">
        <f>IF(H40="","",H40)</f>
        <v/>
      </c>
      <c r="G146" s="158" t="str">
        <f t="shared" si="7"/>
        <v/>
      </c>
    </row>
    <row r="147" spans="2:7">
      <c r="B147" s="115" t="s">
        <v>14</v>
      </c>
      <c r="C147" s="115" t="s">
        <v>139</v>
      </c>
      <c r="D147" s="117" t="s">
        <v>141</v>
      </c>
      <c r="E147" s="104" t="s">
        <v>144</v>
      </c>
      <c r="F147" s="112" t="str">
        <f>IF(H41="","",H41)</f>
        <v/>
      </c>
      <c r="G147" s="158" t="str">
        <f t="shared" si="7"/>
        <v/>
      </c>
    </row>
    <row r="148" spans="2:7">
      <c r="B148" s="115" t="s">
        <v>14</v>
      </c>
      <c r="C148" s="115" t="s">
        <v>139</v>
      </c>
      <c r="D148" s="117" t="s">
        <v>142</v>
      </c>
      <c r="E148" s="104" t="s">
        <v>143</v>
      </c>
      <c r="F148" s="112" t="str">
        <f>IF(H42="","",H42)</f>
        <v/>
      </c>
      <c r="G148" s="158" t="str">
        <f t="shared" si="7"/>
        <v/>
      </c>
    </row>
    <row r="149" spans="2:7">
      <c r="B149" s="115" t="s">
        <v>14</v>
      </c>
      <c r="C149" s="115" t="s">
        <v>139</v>
      </c>
      <c r="D149" s="117" t="s">
        <v>142</v>
      </c>
      <c r="E149" s="104" t="s">
        <v>144</v>
      </c>
      <c r="F149" s="112" t="str">
        <f>IF(H43="","",H43)</f>
        <v/>
      </c>
      <c r="G149" s="158" t="str">
        <f t="shared" si="7"/>
        <v/>
      </c>
    </row>
    <row r="150" spans="2:7">
      <c r="B150" s="115" t="s">
        <v>14</v>
      </c>
      <c r="C150" s="115" t="s">
        <v>139</v>
      </c>
      <c r="D150" s="117" t="s">
        <v>150</v>
      </c>
      <c r="E150" s="104" t="s">
        <v>143</v>
      </c>
      <c r="F150" s="112" t="str">
        <f>IF(H44="","",H44)</f>
        <v/>
      </c>
      <c r="G150" s="158" t="str">
        <f t="shared" si="7"/>
        <v/>
      </c>
    </row>
    <row r="151" spans="2:7">
      <c r="B151" s="121" t="s">
        <v>14</v>
      </c>
      <c r="C151" s="121" t="s">
        <v>139</v>
      </c>
      <c r="D151" s="118" t="s">
        <v>150</v>
      </c>
      <c r="E151" s="107" t="s">
        <v>144</v>
      </c>
      <c r="F151" s="113" t="str">
        <f>IF(H45="","",H45)</f>
        <v/>
      </c>
      <c r="G151" s="160" t="str">
        <f t="shared" si="7"/>
        <v/>
      </c>
    </row>
    <row r="152" spans="2:7">
      <c r="B152" s="119" t="s">
        <v>15</v>
      </c>
      <c r="C152" s="84" t="s">
        <v>136</v>
      </c>
      <c r="D152" s="115" t="s">
        <v>140</v>
      </c>
      <c r="E152" s="64" t="s">
        <v>143</v>
      </c>
      <c r="F152" s="112" t="str">
        <f>IF(I14="","",I14)</f>
        <v/>
      </c>
      <c r="G152" s="159" t="str">
        <f t="shared" si="7"/>
        <v/>
      </c>
    </row>
    <row r="153" spans="2:7">
      <c r="B153" s="84" t="s">
        <v>15</v>
      </c>
      <c r="C153" s="84" t="s">
        <v>136</v>
      </c>
      <c r="D153" s="115" t="s">
        <v>140</v>
      </c>
      <c r="E153" s="64" t="s">
        <v>144</v>
      </c>
      <c r="F153" s="112" t="str">
        <f>IF(I15="","",I15)</f>
        <v/>
      </c>
      <c r="G153" s="158" t="str">
        <f t="shared" si="7"/>
        <v/>
      </c>
    </row>
    <row r="154" spans="2:7">
      <c r="B154" s="84" t="s">
        <v>15</v>
      </c>
      <c r="C154" s="84" t="s">
        <v>136</v>
      </c>
      <c r="D154" s="115" t="s">
        <v>141</v>
      </c>
      <c r="E154" s="64" t="s">
        <v>143</v>
      </c>
      <c r="F154" s="112" t="str">
        <f>IF(I16="","",I16)</f>
        <v/>
      </c>
      <c r="G154" s="158" t="str">
        <f t="shared" si="7"/>
        <v/>
      </c>
    </row>
    <row r="155" spans="2:7">
      <c r="B155" s="84" t="s">
        <v>15</v>
      </c>
      <c r="C155" s="84" t="s">
        <v>136</v>
      </c>
      <c r="D155" s="115" t="s">
        <v>141</v>
      </c>
      <c r="E155" s="64" t="s">
        <v>144</v>
      </c>
      <c r="F155" s="112" t="str">
        <f>IF(I17="","",I17)</f>
        <v/>
      </c>
      <c r="G155" s="158" t="str">
        <f t="shared" si="7"/>
        <v/>
      </c>
    </row>
    <row r="156" spans="2:7">
      <c r="B156" s="84" t="s">
        <v>15</v>
      </c>
      <c r="C156" s="84" t="s">
        <v>136</v>
      </c>
      <c r="D156" s="115" t="s">
        <v>142</v>
      </c>
      <c r="E156" s="64" t="s">
        <v>143</v>
      </c>
      <c r="F156" s="112" t="str">
        <f>IF(I18="","",I18)</f>
        <v/>
      </c>
      <c r="G156" s="158" t="str">
        <f t="shared" si="7"/>
        <v/>
      </c>
    </row>
    <row r="157" spans="2:7">
      <c r="B157" s="84" t="s">
        <v>15</v>
      </c>
      <c r="C157" s="84" t="s">
        <v>136</v>
      </c>
      <c r="D157" s="115" t="s">
        <v>142</v>
      </c>
      <c r="E157" s="64" t="s">
        <v>144</v>
      </c>
      <c r="F157" s="112" t="str">
        <f>IF(I19="","",I19)</f>
        <v/>
      </c>
      <c r="G157" s="158" t="str">
        <f t="shared" si="7"/>
        <v/>
      </c>
    </row>
    <row r="158" spans="2:7">
      <c r="B158" s="84" t="s">
        <v>15</v>
      </c>
      <c r="C158" s="84" t="s">
        <v>136</v>
      </c>
      <c r="D158" s="115" t="s">
        <v>150</v>
      </c>
      <c r="E158" s="64" t="s">
        <v>143</v>
      </c>
      <c r="F158" s="112" t="str">
        <f>IF(I20="","",I20)</f>
        <v/>
      </c>
      <c r="G158" s="158" t="str">
        <f t="shared" si="7"/>
        <v/>
      </c>
    </row>
    <row r="159" spans="2:7">
      <c r="B159" s="84" t="s">
        <v>15</v>
      </c>
      <c r="C159" s="84" t="s">
        <v>136</v>
      </c>
      <c r="D159" s="115" t="s">
        <v>150</v>
      </c>
      <c r="E159" s="64" t="s">
        <v>144</v>
      </c>
      <c r="F159" s="112" t="str">
        <f>IF(I21="","",I21)</f>
        <v/>
      </c>
      <c r="G159" s="158" t="str">
        <f t="shared" si="7"/>
        <v/>
      </c>
    </row>
    <row r="160" spans="2:7">
      <c r="B160" s="84" t="s">
        <v>15</v>
      </c>
      <c r="C160" s="84" t="s">
        <v>137</v>
      </c>
      <c r="D160" s="115" t="s">
        <v>140</v>
      </c>
      <c r="E160" s="64" t="s">
        <v>143</v>
      </c>
      <c r="F160" s="112" t="str">
        <f>IF(I22="","",I22)</f>
        <v/>
      </c>
      <c r="G160" s="158" t="str">
        <f t="shared" si="7"/>
        <v/>
      </c>
    </row>
    <row r="161" spans="2:7">
      <c r="B161" s="84" t="s">
        <v>15</v>
      </c>
      <c r="C161" s="84" t="s">
        <v>137</v>
      </c>
      <c r="D161" s="115" t="s">
        <v>140</v>
      </c>
      <c r="E161" s="64" t="s">
        <v>144</v>
      </c>
      <c r="F161" s="112" t="str">
        <f>IF(I23="","",I23)</f>
        <v/>
      </c>
      <c r="G161" s="158" t="str">
        <f t="shared" si="7"/>
        <v/>
      </c>
    </row>
    <row r="162" spans="2:7">
      <c r="B162" s="84" t="s">
        <v>15</v>
      </c>
      <c r="C162" s="84" t="s">
        <v>137</v>
      </c>
      <c r="D162" s="115" t="s">
        <v>141</v>
      </c>
      <c r="E162" s="64" t="s">
        <v>143</v>
      </c>
      <c r="F162" s="112" t="str">
        <f>IF(I24="","",I24)</f>
        <v/>
      </c>
      <c r="G162" s="158" t="str">
        <f t="shared" si="7"/>
        <v/>
      </c>
    </row>
    <row r="163" spans="2:7">
      <c r="B163" s="84" t="s">
        <v>15</v>
      </c>
      <c r="C163" s="84" t="s">
        <v>137</v>
      </c>
      <c r="D163" s="115" t="s">
        <v>141</v>
      </c>
      <c r="E163" s="64" t="s">
        <v>144</v>
      </c>
      <c r="F163" s="112" t="str">
        <f>IF(I25="","",I25)</f>
        <v/>
      </c>
      <c r="G163" s="158" t="str">
        <f t="shared" si="7"/>
        <v/>
      </c>
    </row>
    <row r="164" spans="2:7">
      <c r="B164" s="84" t="s">
        <v>15</v>
      </c>
      <c r="C164" s="84" t="s">
        <v>137</v>
      </c>
      <c r="D164" s="115" t="s">
        <v>142</v>
      </c>
      <c r="E164" s="64" t="s">
        <v>143</v>
      </c>
      <c r="F164" s="112" t="str">
        <f>IF(I26="","",I26)</f>
        <v/>
      </c>
      <c r="G164" s="158" t="str">
        <f t="shared" si="7"/>
        <v/>
      </c>
    </row>
    <row r="165" spans="2:7">
      <c r="B165" s="84" t="s">
        <v>15</v>
      </c>
      <c r="C165" s="84" t="s">
        <v>137</v>
      </c>
      <c r="D165" s="115" t="s">
        <v>142</v>
      </c>
      <c r="E165" s="64" t="s">
        <v>144</v>
      </c>
      <c r="F165" s="112" t="str">
        <f>IF(I27="","",I27)</f>
        <v/>
      </c>
      <c r="G165" s="158" t="str">
        <f t="shared" si="7"/>
        <v/>
      </c>
    </row>
    <row r="166" spans="2:7">
      <c r="B166" s="84" t="s">
        <v>15</v>
      </c>
      <c r="C166" s="84" t="s">
        <v>137</v>
      </c>
      <c r="D166" s="115" t="s">
        <v>150</v>
      </c>
      <c r="E166" s="64" t="s">
        <v>143</v>
      </c>
      <c r="F166" s="112" t="str">
        <f>IF(I28="","",I28)</f>
        <v/>
      </c>
      <c r="G166" s="158" t="str">
        <f t="shared" si="7"/>
        <v/>
      </c>
    </row>
    <row r="167" spans="2:7">
      <c r="B167" s="84" t="s">
        <v>15</v>
      </c>
      <c r="C167" s="84" t="s">
        <v>137</v>
      </c>
      <c r="D167" s="115" t="s">
        <v>150</v>
      </c>
      <c r="E167" s="64" t="s">
        <v>144</v>
      </c>
      <c r="F167" s="112" t="str">
        <f>IF(I29="","",I29)</f>
        <v/>
      </c>
      <c r="G167" s="158" t="str">
        <f t="shared" si="7"/>
        <v/>
      </c>
    </row>
    <row r="168" spans="2:7">
      <c r="B168" s="84" t="s">
        <v>15</v>
      </c>
      <c r="C168" s="84" t="s">
        <v>138</v>
      </c>
      <c r="D168" s="115" t="s">
        <v>140</v>
      </c>
      <c r="E168" s="64" t="s">
        <v>143</v>
      </c>
      <c r="F168" s="112" t="str">
        <f>IF(I30="","",I30)</f>
        <v/>
      </c>
      <c r="G168" s="158" t="str">
        <f t="shared" si="7"/>
        <v/>
      </c>
    </row>
    <row r="169" spans="2:7">
      <c r="B169" s="84" t="s">
        <v>15</v>
      </c>
      <c r="C169" s="84" t="s">
        <v>138</v>
      </c>
      <c r="D169" s="115" t="s">
        <v>140</v>
      </c>
      <c r="E169" s="64" t="s">
        <v>144</v>
      </c>
      <c r="F169" s="112" t="str">
        <f>IF(I31="","",I31)</f>
        <v/>
      </c>
      <c r="G169" s="158" t="str">
        <f t="shared" si="7"/>
        <v/>
      </c>
    </row>
    <row r="170" spans="2:7">
      <c r="B170" s="84" t="s">
        <v>15</v>
      </c>
      <c r="C170" s="84" t="s">
        <v>138</v>
      </c>
      <c r="D170" s="115" t="s">
        <v>141</v>
      </c>
      <c r="E170" s="64" t="s">
        <v>143</v>
      </c>
      <c r="F170" s="112" t="str">
        <f>IF(I32="","",I32)</f>
        <v/>
      </c>
      <c r="G170" s="158" t="str">
        <f t="shared" si="7"/>
        <v/>
      </c>
    </row>
    <row r="171" spans="2:7">
      <c r="B171" s="84" t="s">
        <v>15</v>
      </c>
      <c r="C171" s="84" t="s">
        <v>138</v>
      </c>
      <c r="D171" s="115" t="s">
        <v>141</v>
      </c>
      <c r="E171" s="64" t="s">
        <v>144</v>
      </c>
      <c r="F171" s="112" t="str">
        <f>IF(I33="","",I33)</f>
        <v/>
      </c>
      <c r="G171" s="158" t="str">
        <f t="shared" si="7"/>
        <v/>
      </c>
    </row>
    <row r="172" spans="2:7">
      <c r="B172" s="84" t="s">
        <v>15</v>
      </c>
      <c r="C172" s="84" t="s">
        <v>138</v>
      </c>
      <c r="D172" s="115" t="s">
        <v>142</v>
      </c>
      <c r="E172" s="64" t="s">
        <v>143</v>
      </c>
      <c r="F172" s="112" t="str">
        <f>IF(I34="","",I34)</f>
        <v/>
      </c>
      <c r="G172" s="158" t="str">
        <f t="shared" si="7"/>
        <v/>
      </c>
    </row>
    <row r="173" spans="2:7">
      <c r="B173" s="84" t="s">
        <v>15</v>
      </c>
      <c r="C173" s="84" t="s">
        <v>138</v>
      </c>
      <c r="D173" s="115" t="s">
        <v>142</v>
      </c>
      <c r="E173" s="64" t="s">
        <v>144</v>
      </c>
      <c r="F173" s="112" t="str">
        <f>IF(I35="","",I35)</f>
        <v/>
      </c>
      <c r="G173" s="158" t="str">
        <f t="shared" si="7"/>
        <v/>
      </c>
    </row>
    <row r="174" spans="2:7">
      <c r="B174" s="84" t="s">
        <v>15</v>
      </c>
      <c r="C174" s="84" t="s">
        <v>138</v>
      </c>
      <c r="D174" s="115" t="s">
        <v>150</v>
      </c>
      <c r="E174" s="64" t="s">
        <v>143</v>
      </c>
      <c r="F174" s="112" t="str">
        <f>IF(I36="","",I36)</f>
        <v/>
      </c>
      <c r="G174" s="158" t="str">
        <f t="shared" si="7"/>
        <v/>
      </c>
    </row>
    <row r="175" spans="2:7">
      <c r="B175" s="84" t="s">
        <v>15</v>
      </c>
      <c r="C175" s="84" t="s">
        <v>138</v>
      </c>
      <c r="D175" s="115" t="s">
        <v>150</v>
      </c>
      <c r="E175" s="67" t="s">
        <v>144</v>
      </c>
      <c r="F175" s="112" t="str">
        <f>IF(I37="","",I37)</f>
        <v/>
      </c>
      <c r="G175" s="158" t="str">
        <f t="shared" si="7"/>
        <v/>
      </c>
    </row>
    <row r="176" spans="2:7">
      <c r="B176" s="84" t="s">
        <v>15</v>
      </c>
      <c r="C176" s="84" t="s">
        <v>139</v>
      </c>
      <c r="D176" s="84" t="s">
        <v>140</v>
      </c>
      <c r="E176" s="67" t="s">
        <v>143</v>
      </c>
      <c r="F176" s="112" t="str">
        <f>IF(I38="","",I38)</f>
        <v/>
      </c>
      <c r="G176" s="158" t="str">
        <f t="shared" si="7"/>
        <v/>
      </c>
    </row>
    <row r="177" spans="2:7">
      <c r="B177" s="120" t="s">
        <v>15</v>
      </c>
      <c r="C177" s="120" t="s">
        <v>139</v>
      </c>
      <c r="D177" s="116" t="s">
        <v>140</v>
      </c>
      <c r="E177" s="106" t="s">
        <v>144</v>
      </c>
      <c r="F177" s="112" t="str">
        <f>IF(I39="","",I39)</f>
        <v/>
      </c>
      <c r="G177" s="158" t="str">
        <f t="shared" si="7"/>
        <v/>
      </c>
    </row>
    <row r="178" spans="2:7">
      <c r="B178" s="115" t="s">
        <v>15</v>
      </c>
      <c r="C178" s="115" t="s">
        <v>139</v>
      </c>
      <c r="D178" s="117" t="s">
        <v>141</v>
      </c>
      <c r="E178" s="104" t="s">
        <v>143</v>
      </c>
      <c r="F178" s="112" t="str">
        <f>IF(I40="","",I40)</f>
        <v/>
      </c>
      <c r="G178" s="158" t="str">
        <f t="shared" si="7"/>
        <v/>
      </c>
    </row>
    <row r="179" spans="2:7">
      <c r="B179" s="115" t="s">
        <v>15</v>
      </c>
      <c r="C179" s="115" t="s">
        <v>139</v>
      </c>
      <c r="D179" s="117" t="s">
        <v>141</v>
      </c>
      <c r="E179" s="104" t="s">
        <v>144</v>
      </c>
      <c r="F179" s="112" t="str">
        <f>IF(I41="","",I41)</f>
        <v/>
      </c>
      <c r="G179" s="158" t="str">
        <f t="shared" si="7"/>
        <v/>
      </c>
    </row>
    <row r="180" spans="2:7">
      <c r="B180" s="115" t="s">
        <v>15</v>
      </c>
      <c r="C180" s="115" t="s">
        <v>139</v>
      </c>
      <c r="D180" s="117" t="s">
        <v>142</v>
      </c>
      <c r="E180" s="104" t="s">
        <v>143</v>
      </c>
      <c r="F180" s="112" t="str">
        <f>IF(I42="","",I42)</f>
        <v/>
      </c>
      <c r="G180" s="158" t="str">
        <f t="shared" si="7"/>
        <v/>
      </c>
    </row>
    <row r="181" spans="2:7">
      <c r="B181" s="115" t="s">
        <v>15</v>
      </c>
      <c r="C181" s="115" t="s">
        <v>139</v>
      </c>
      <c r="D181" s="117" t="s">
        <v>142</v>
      </c>
      <c r="E181" s="104" t="s">
        <v>144</v>
      </c>
      <c r="F181" s="112" t="str">
        <f>IF(I43="","",I43)</f>
        <v/>
      </c>
      <c r="G181" s="158" t="str">
        <f t="shared" si="7"/>
        <v/>
      </c>
    </row>
    <row r="182" spans="2:7">
      <c r="B182" s="115" t="s">
        <v>15</v>
      </c>
      <c r="C182" s="115" t="s">
        <v>139</v>
      </c>
      <c r="D182" s="117" t="s">
        <v>150</v>
      </c>
      <c r="E182" s="104" t="s">
        <v>143</v>
      </c>
      <c r="F182" s="112" t="str">
        <f>IF(I44="","",I44)</f>
        <v/>
      </c>
      <c r="G182" s="158" t="str">
        <f t="shared" si="7"/>
        <v/>
      </c>
    </row>
    <row r="183" spans="2:7">
      <c r="B183" s="121" t="s">
        <v>15</v>
      </c>
      <c r="C183" s="121" t="s">
        <v>139</v>
      </c>
      <c r="D183" s="118" t="s">
        <v>150</v>
      </c>
      <c r="E183" s="107" t="s">
        <v>144</v>
      </c>
      <c r="F183" s="113" t="str">
        <f>IF(I45="","",I45)</f>
        <v/>
      </c>
      <c r="G183" s="160" t="str">
        <f t="shared" si="7"/>
        <v/>
      </c>
    </row>
    <row r="184" spans="2:7">
      <c r="B184" s="119" t="s">
        <v>16</v>
      </c>
      <c r="C184" s="84" t="s">
        <v>136</v>
      </c>
      <c r="D184" s="115" t="s">
        <v>140</v>
      </c>
      <c r="E184" s="64" t="s">
        <v>143</v>
      </c>
      <c r="F184" s="112" t="str">
        <f>IF(J14="","",J14)</f>
        <v/>
      </c>
      <c r="G184" s="159" t="str">
        <f t="shared" ref="G184:G215" si="8">IF(F184="","",CONCATENATE(C184,"_",D184,"_",E184))</f>
        <v/>
      </c>
    </row>
    <row r="185" spans="2:7">
      <c r="B185" s="84" t="s">
        <v>16</v>
      </c>
      <c r="C185" s="84" t="s">
        <v>136</v>
      </c>
      <c r="D185" s="115" t="s">
        <v>140</v>
      </c>
      <c r="E185" s="64" t="s">
        <v>144</v>
      </c>
      <c r="F185" s="112" t="str">
        <f>IF(J15="","",J15)</f>
        <v/>
      </c>
      <c r="G185" s="158" t="str">
        <f t="shared" si="8"/>
        <v/>
      </c>
    </row>
    <row r="186" spans="2:7">
      <c r="B186" s="84" t="s">
        <v>16</v>
      </c>
      <c r="C186" s="84" t="s">
        <v>136</v>
      </c>
      <c r="D186" s="115" t="s">
        <v>141</v>
      </c>
      <c r="E186" s="64" t="s">
        <v>143</v>
      </c>
      <c r="F186" s="112" t="str">
        <f>IF(J16="","",J16)</f>
        <v/>
      </c>
      <c r="G186" s="158" t="str">
        <f t="shared" si="8"/>
        <v/>
      </c>
    </row>
    <row r="187" spans="2:7">
      <c r="B187" s="84" t="s">
        <v>16</v>
      </c>
      <c r="C187" s="84" t="s">
        <v>136</v>
      </c>
      <c r="D187" s="115" t="s">
        <v>141</v>
      </c>
      <c r="E187" s="64" t="s">
        <v>144</v>
      </c>
      <c r="F187" s="112" t="str">
        <f>IF(J17="","",J17)</f>
        <v/>
      </c>
      <c r="G187" s="158" t="str">
        <f t="shared" si="8"/>
        <v/>
      </c>
    </row>
    <row r="188" spans="2:7">
      <c r="B188" s="84" t="s">
        <v>16</v>
      </c>
      <c r="C188" s="84" t="s">
        <v>136</v>
      </c>
      <c r="D188" s="115" t="s">
        <v>142</v>
      </c>
      <c r="E188" s="64" t="s">
        <v>143</v>
      </c>
      <c r="F188" s="112" t="str">
        <f>IF(J18="","",J18)</f>
        <v/>
      </c>
      <c r="G188" s="158" t="str">
        <f t="shared" si="8"/>
        <v/>
      </c>
    </row>
    <row r="189" spans="2:7">
      <c r="B189" s="84" t="s">
        <v>16</v>
      </c>
      <c r="C189" s="84" t="s">
        <v>136</v>
      </c>
      <c r="D189" s="115" t="s">
        <v>142</v>
      </c>
      <c r="E189" s="64" t="s">
        <v>144</v>
      </c>
      <c r="F189" s="112" t="str">
        <f>IF(J19="","",J19)</f>
        <v/>
      </c>
      <c r="G189" s="158" t="str">
        <f t="shared" si="8"/>
        <v/>
      </c>
    </row>
    <row r="190" spans="2:7">
      <c r="B190" s="84" t="s">
        <v>16</v>
      </c>
      <c r="C190" s="84" t="s">
        <v>136</v>
      </c>
      <c r="D190" s="115" t="s">
        <v>150</v>
      </c>
      <c r="E190" s="64" t="s">
        <v>143</v>
      </c>
      <c r="F190" s="112" t="str">
        <f>IF(J20="","",J20)</f>
        <v/>
      </c>
      <c r="G190" s="158" t="str">
        <f t="shared" si="8"/>
        <v/>
      </c>
    </row>
    <row r="191" spans="2:7">
      <c r="B191" s="84" t="s">
        <v>16</v>
      </c>
      <c r="C191" s="84" t="s">
        <v>136</v>
      </c>
      <c r="D191" s="115" t="s">
        <v>150</v>
      </c>
      <c r="E191" s="64" t="s">
        <v>144</v>
      </c>
      <c r="F191" s="112" t="str">
        <f>IF(J21="","",J21)</f>
        <v/>
      </c>
      <c r="G191" s="158" t="str">
        <f t="shared" si="8"/>
        <v/>
      </c>
    </row>
    <row r="192" spans="2:7">
      <c r="B192" s="84" t="s">
        <v>16</v>
      </c>
      <c r="C192" s="84" t="s">
        <v>137</v>
      </c>
      <c r="D192" s="115" t="s">
        <v>140</v>
      </c>
      <c r="E192" s="64" t="s">
        <v>143</v>
      </c>
      <c r="F192" s="112" t="str">
        <f>IF(J22="","",J22)</f>
        <v/>
      </c>
      <c r="G192" s="158" t="str">
        <f t="shared" si="8"/>
        <v/>
      </c>
    </row>
    <row r="193" spans="2:7">
      <c r="B193" s="84" t="s">
        <v>16</v>
      </c>
      <c r="C193" s="84" t="s">
        <v>137</v>
      </c>
      <c r="D193" s="115" t="s">
        <v>140</v>
      </c>
      <c r="E193" s="64" t="s">
        <v>144</v>
      </c>
      <c r="F193" s="112" t="str">
        <f>IF(J23="","",J23)</f>
        <v/>
      </c>
      <c r="G193" s="158" t="str">
        <f t="shared" si="8"/>
        <v/>
      </c>
    </row>
    <row r="194" spans="2:7">
      <c r="B194" s="84" t="s">
        <v>16</v>
      </c>
      <c r="C194" s="84" t="s">
        <v>137</v>
      </c>
      <c r="D194" s="115" t="s">
        <v>141</v>
      </c>
      <c r="E194" s="64" t="s">
        <v>143</v>
      </c>
      <c r="F194" s="112" t="str">
        <f>IF(J24="","",J24)</f>
        <v/>
      </c>
      <c r="G194" s="158" t="str">
        <f t="shared" si="8"/>
        <v/>
      </c>
    </row>
    <row r="195" spans="2:7">
      <c r="B195" s="84" t="s">
        <v>16</v>
      </c>
      <c r="C195" s="84" t="s">
        <v>137</v>
      </c>
      <c r="D195" s="115" t="s">
        <v>141</v>
      </c>
      <c r="E195" s="64" t="s">
        <v>144</v>
      </c>
      <c r="F195" s="112" t="str">
        <f>IF(J25="","",J25)</f>
        <v/>
      </c>
      <c r="G195" s="158" t="str">
        <f t="shared" si="8"/>
        <v/>
      </c>
    </row>
    <row r="196" spans="2:7">
      <c r="B196" s="84" t="s">
        <v>16</v>
      </c>
      <c r="C196" s="84" t="s">
        <v>137</v>
      </c>
      <c r="D196" s="115" t="s">
        <v>142</v>
      </c>
      <c r="E196" s="64" t="s">
        <v>143</v>
      </c>
      <c r="F196" s="112" t="str">
        <f>IF(J26="","",J26)</f>
        <v/>
      </c>
      <c r="G196" s="158" t="str">
        <f t="shared" si="8"/>
        <v/>
      </c>
    </row>
    <row r="197" spans="2:7">
      <c r="B197" s="84" t="s">
        <v>16</v>
      </c>
      <c r="C197" s="84" t="s">
        <v>137</v>
      </c>
      <c r="D197" s="115" t="s">
        <v>142</v>
      </c>
      <c r="E197" s="64" t="s">
        <v>144</v>
      </c>
      <c r="F197" s="112" t="str">
        <f>IF(J27="","",J27)</f>
        <v/>
      </c>
      <c r="G197" s="158" t="str">
        <f t="shared" si="8"/>
        <v/>
      </c>
    </row>
    <row r="198" spans="2:7">
      <c r="B198" s="84" t="s">
        <v>16</v>
      </c>
      <c r="C198" s="84" t="s">
        <v>137</v>
      </c>
      <c r="D198" s="115" t="s">
        <v>150</v>
      </c>
      <c r="E198" s="64" t="s">
        <v>143</v>
      </c>
      <c r="F198" s="112" t="str">
        <f>IF(J28="","",J28)</f>
        <v/>
      </c>
      <c r="G198" s="158" t="str">
        <f t="shared" si="8"/>
        <v/>
      </c>
    </row>
    <row r="199" spans="2:7">
      <c r="B199" s="84" t="s">
        <v>16</v>
      </c>
      <c r="C199" s="84" t="s">
        <v>137</v>
      </c>
      <c r="D199" s="115" t="s">
        <v>150</v>
      </c>
      <c r="E199" s="64" t="s">
        <v>144</v>
      </c>
      <c r="F199" s="112" t="str">
        <f>IF(J29="","",J29)</f>
        <v/>
      </c>
      <c r="G199" s="158" t="str">
        <f t="shared" si="8"/>
        <v/>
      </c>
    </row>
    <row r="200" spans="2:7">
      <c r="B200" s="84" t="s">
        <v>16</v>
      </c>
      <c r="C200" s="84" t="s">
        <v>138</v>
      </c>
      <c r="D200" s="115" t="s">
        <v>140</v>
      </c>
      <c r="E200" s="64" t="s">
        <v>143</v>
      </c>
      <c r="F200" s="112" t="str">
        <f>IF(J30="","",J30)</f>
        <v/>
      </c>
      <c r="G200" s="158" t="str">
        <f t="shared" si="8"/>
        <v/>
      </c>
    </row>
    <row r="201" spans="2:7">
      <c r="B201" s="84" t="s">
        <v>16</v>
      </c>
      <c r="C201" s="84" t="s">
        <v>138</v>
      </c>
      <c r="D201" s="115" t="s">
        <v>140</v>
      </c>
      <c r="E201" s="64" t="s">
        <v>144</v>
      </c>
      <c r="F201" s="112" t="str">
        <f>IF(J31="","",J31)</f>
        <v/>
      </c>
      <c r="G201" s="158" t="str">
        <f t="shared" si="8"/>
        <v/>
      </c>
    </row>
    <row r="202" spans="2:7">
      <c r="B202" s="84" t="s">
        <v>16</v>
      </c>
      <c r="C202" s="84" t="s">
        <v>138</v>
      </c>
      <c r="D202" s="115" t="s">
        <v>141</v>
      </c>
      <c r="E202" s="64" t="s">
        <v>143</v>
      </c>
      <c r="F202" s="112" t="str">
        <f>IF(J32="","",J32)</f>
        <v/>
      </c>
      <c r="G202" s="158" t="str">
        <f t="shared" si="8"/>
        <v/>
      </c>
    </row>
    <row r="203" spans="2:7">
      <c r="B203" s="84" t="s">
        <v>16</v>
      </c>
      <c r="C203" s="84" t="s">
        <v>138</v>
      </c>
      <c r="D203" s="115" t="s">
        <v>141</v>
      </c>
      <c r="E203" s="64" t="s">
        <v>144</v>
      </c>
      <c r="F203" s="112" t="str">
        <f>IF(J33="","",J33)</f>
        <v/>
      </c>
      <c r="G203" s="158" t="str">
        <f t="shared" si="8"/>
        <v/>
      </c>
    </row>
    <row r="204" spans="2:7">
      <c r="B204" s="84" t="s">
        <v>16</v>
      </c>
      <c r="C204" s="84" t="s">
        <v>138</v>
      </c>
      <c r="D204" s="115" t="s">
        <v>142</v>
      </c>
      <c r="E204" s="64" t="s">
        <v>143</v>
      </c>
      <c r="F204" s="112" t="str">
        <f>IF(J34="","",J34)</f>
        <v/>
      </c>
      <c r="G204" s="158" t="str">
        <f t="shared" si="8"/>
        <v/>
      </c>
    </row>
    <row r="205" spans="2:7">
      <c r="B205" s="84" t="s">
        <v>16</v>
      </c>
      <c r="C205" s="84" t="s">
        <v>138</v>
      </c>
      <c r="D205" s="115" t="s">
        <v>142</v>
      </c>
      <c r="E205" s="64" t="s">
        <v>144</v>
      </c>
      <c r="F205" s="112" t="str">
        <f>IF(J35="","",J35)</f>
        <v/>
      </c>
      <c r="G205" s="158" t="str">
        <f t="shared" si="8"/>
        <v/>
      </c>
    </row>
    <row r="206" spans="2:7">
      <c r="B206" s="84" t="s">
        <v>16</v>
      </c>
      <c r="C206" s="84" t="s">
        <v>138</v>
      </c>
      <c r="D206" s="115" t="s">
        <v>150</v>
      </c>
      <c r="E206" s="64" t="s">
        <v>143</v>
      </c>
      <c r="F206" s="112" t="str">
        <f>IF(J36="","",J36)</f>
        <v/>
      </c>
      <c r="G206" s="158" t="str">
        <f t="shared" si="8"/>
        <v/>
      </c>
    </row>
    <row r="207" spans="2:7">
      <c r="B207" s="84" t="s">
        <v>16</v>
      </c>
      <c r="C207" s="84" t="s">
        <v>138</v>
      </c>
      <c r="D207" s="115" t="s">
        <v>150</v>
      </c>
      <c r="E207" s="67" t="s">
        <v>144</v>
      </c>
      <c r="F207" s="112" t="str">
        <f>IF(J37="","",J37)</f>
        <v/>
      </c>
      <c r="G207" s="158" t="str">
        <f t="shared" si="8"/>
        <v/>
      </c>
    </row>
    <row r="208" spans="2:7">
      <c r="B208" s="84" t="s">
        <v>16</v>
      </c>
      <c r="C208" s="84" t="s">
        <v>139</v>
      </c>
      <c r="D208" s="84" t="s">
        <v>140</v>
      </c>
      <c r="E208" s="67" t="s">
        <v>143</v>
      </c>
      <c r="F208" s="112" t="str">
        <f>IF(J38="","",J38)</f>
        <v/>
      </c>
      <c r="G208" s="158" t="str">
        <f t="shared" si="8"/>
        <v/>
      </c>
    </row>
    <row r="209" spans="1:9">
      <c r="B209" s="120" t="s">
        <v>16</v>
      </c>
      <c r="C209" s="120" t="s">
        <v>139</v>
      </c>
      <c r="D209" s="116" t="s">
        <v>140</v>
      </c>
      <c r="E209" s="106" t="s">
        <v>144</v>
      </c>
      <c r="F209" s="112" t="str">
        <f>IF(J39="","",J39)</f>
        <v/>
      </c>
      <c r="G209" s="158" t="str">
        <f t="shared" si="8"/>
        <v/>
      </c>
    </row>
    <row r="210" spans="1:9">
      <c r="B210" s="115" t="s">
        <v>16</v>
      </c>
      <c r="C210" s="115" t="s">
        <v>139</v>
      </c>
      <c r="D210" s="117" t="s">
        <v>141</v>
      </c>
      <c r="E210" s="104" t="s">
        <v>143</v>
      </c>
      <c r="F210" s="112" t="str">
        <f>IF(J40="","",J40)</f>
        <v/>
      </c>
      <c r="G210" s="158" t="str">
        <f t="shared" si="8"/>
        <v/>
      </c>
    </row>
    <row r="211" spans="1:9">
      <c r="B211" s="115" t="s">
        <v>16</v>
      </c>
      <c r="C211" s="115" t="s">
        <v>139</v>
      </c>
      <c r="D211" s="117" t="s">
        <v>141</v>
      </c>
      <c r="E211" s="104" t="s">
        <v>144</v>
      </c>
      <c r="F211" s="112" t="str">
        <f>IF(J41="","",J41)</f>
        <v/>
      </c>
      <c r="G211" s="158" t="str">
        <f t="shared" si="8"/>
        <v/>
      </c>
    </row>
    <row r="212" spans="1:9">
      <c r="B212" s="115" t="s">
        <v>16</v>
      </c>
      <c r="C212" s="115" t="s">
        <v>139</v>
      </c>
      <c r="D212" s="117" t="s">
        <v>142</v>
      </c>
      <c r="E212" s="104" t="s">
        <v>143</v>
      </c>
      <c r="F212" s="112" t="str">
        <f>IF(J42="","",J42)</f>
        <v/>
      </c>
      <c r="G212" s="158" t="str">
        <f t="shared" si="8"/>
        <v/>
      </c>
    </row>
    <row r="213" spans="1:9">
      <c r="B213" s="115" t="s">
        <v>16</v>
      </c>
      <c r="C213" s="115" t="s">
        <v>139</v>
      </c>
      <c r="D213" s="117" t="s">
        <v>142</v>
      </c>
      <c r="E213" s="104" t="s">
        <v>144</v>
      </c>
      <c r="F213" s="112" t="str">
        <f>IF(J43="","",J43)</f>
        <v/>
      </c>
      <c r="G213" s="158" t="str">
        <f t="shared" si="8"/>
        <v/>
      </c>
    </row>
    <row r="214" spans="1:9">
      <c r="B214" s="115" t="s">
        <v>16</v>
      </c>
      <c r="C214" s="115" t="s">
        <v>139</v>
      </c>
      <c r="D214" s="117" t="s">
        <v>150</v>
      </c>
      <c r="E214" s="104" t="s">
        <v>143</v>
      </c>
      <c r="F214" s="112" t="str">
        <f>IF(J44="","",J44)</f>
        <v/>
      </c>
      <c r="G214" s="158" t="str">
        <f t="shared" si="8"/>
        <v/>
      </c>
    </row>
    <row r="215" spans="1:9">
      <c r="B215" s="121" t="s">
        <v>16</v>
      </c>
      <c r="C215" s="121" t="s">
        <v>139</v>
      </c>
      <c r="D215" s="118" t="s">
        <v>150</v>
      </c>
      <c r="E215" s="107" t="s">
        <v>144</v>
      </c>
      <c r="F215" s="113" t="str">
        <f>IF(J45="","",J45)</f>
        <v/>
      </c>
      <c r="G215" s="160" t="str">
        <f t="shared" si="8"/>
        <v/>
      </c>
    </row>
    <row r="218" spans="1:9" ht="14.4">
      <c r="A218" s="167" t="s">
        <v>161</v>
      </c>
      <c r="B218" s="168"/>
      <c r="C218" s="168"/>
      <c r="D218" s="168"/>
      <c r="E218" s="168"/>
      <c r="F218" s="168"/>
      <c r="G218" s="168"/>
      <c r="H218" s="168"/>
      <c r="I218" s="168"/>
    </row>
    <row r="220" spans="1:9">
      <c r="B220" s="144" t="s">
        <v>162</v>
      </c>
    </row>
    <row r="221" spans="1:9">
      <c r="B221" s="144"/>
      <c r="C221" s="144" t="s">
        <v>163</v>
      </c>
    </row>
    <row r="223" spans="1:9" ht="15.6">
      <c r="B223" s="12" t="s">
        <v>164</v>
      </c>
      <c r="D223" s="169"/>
      <c r="E223" s="169"/>
    </row>
    <row r="224" spans="1:9" ht="15.6">
      <c r="B224" s="144" t="s">
        <v>165</v>
      </c>
      <c r="D224" s="169"/>
      <c r="E224" s="169"/>
    </row>
    <row r="225" spans="2:9" ht="15.6">
      <c r="B225" s="144"/>
      <c r="C225" s="170" t="s">
        <v>175</v>
      </c>
      <c r="D225" s="171"/>
      <c r="E225" s="171"/>
      <c r="F225" s="168"/>
      <c r="G225" s="168"/>
      <c r="H225" s="168"/>
      <c r="I225" s="168"/>
    </row>
    <row r="226" spans="2:9" ht="15.6">
      <c r="B226" s="144"/>
      <c r="C226" s="170" t="s">
        <v>176</v>
      </c>
      <c r="D226" s="171"/>
      <c r="E226" s="171"/>
      <c r="F226" s="168"/>
      <c r="G226" s="168"/>
      <c r="H226" s="168"/>
      <c r="I226" s="168"/>
    </row>
    <row r="227" spans="2:9" ht="15.6">
      <c r="B227" s="144"/>
      <c r="C227" s="170" t="s">
        <v>177</v>
      </c>
      <c r="D227" s="171"/>
      <c r="E227" s="171"/>
      <c r="F227" s="168"/>
      <c r="G227" s="168"/>
      <c r="H227" s="168"/>
      <c r="I227" s="168"/>
    </row>
    <row r="228" spans="2:9" ht="15.6">
      <c r="B228" s="144"/>
      <c r="D228" s="169"/>
      <c r="E228" s="169"/>
    </row>
    <row r="229" spans="2:9">
      <c r="B229" s="144" t="s">
        <v>166</v>
      </c>
    </row>
    <row r="230" spans="2:9">
      <c r="B230" s="144" t="s">
        <v>167</v>
      </c>
    </row>
    <row r="231" spans="2:9" ht="13.8">
      <c r="B231" s="144"/>
      <c r="C231" s="170" t="s">
        <v>168</v>
      </c>
      <c r="D231" s="170"/>
      <c r="E231" s="170"/>
      <c r="F231" s="170"/>
      <c r="G231" s="168"/>
      <c r="H231" s="168"/>
      <c r="I231" s="168"/>
    </row>
    <row r="232" spans="2:9" ht="13.8">
      <c r="B232" s="144"/>
      <c r="C232" s="170" t="s">
        <v>169</v>
      </c>
      <c r="D232" s="168"/>
      <c r="E232" s="168"/>
      <c r="F232" s="168"/>
      <c r="G232" s="168"/>
      <c r="H232" s="168"/>
      <c r="I232" s="168"/>
    </row>
    <row r="233" spans="2:9">
      <c r="B233" s="144"/>
    </row>
    <row r="234" spans="2:9">
      <c r="B234" s="144" t="s">
        <v>170</v>
      </c>
    </row>
    <row r="235" spans="2:9">
      <c r="B235" s="144"/>
      <c r="C235" s="144" t="s">
        <v>186</v>
      </c>
    </row>
    <row r="236" spans="2:9">
      <c r="B236" s="144"/>
      <c r="C236" s="185" t="s">
        <v>187</v>
      </c>
    </row>
    <row r="237" spans="2:9">
      <c r="B237" s="144"/>
      <c r="C237" s="144" t="s">
        <v>188</v>
      </c>
    </row>
    <row r="238" spans="2:9">
      <c r="B238" s="144"/>
      <c r="C238" s="185" t="s">
        <v>189</v>
      </c>
    </row>
    <row r="239" spans="2:9">
      <c r="B239" s="144"/>
      <c r="C239" s="144" t="s">
        <v>190</v>
      </c>
    </row>
    <row r="240" spans="2:9">
      <c r="B240" s="144"/>
      <c r="C240" s="144" t="s">
        <v>191</v>
      </c>
    </row>
    <row r="241" spans="1:9">
      <c r="B241" s="144"/>
      <c r="C241" s="144"/>
    </row>
    <row r="242" spans="1:9">
      <c r="B242" s="144"/>
      <c r="C242" s="144" t="s">
        <v>192</v>
      </c>
    </row>
    <row r="243" spans="1:9" ht="13.8">
      <c r="C243" s="170" t="s">
        <v>178</v>
      </c>
      <c r="D243" s="168"/>
      <c r="E243" s="168"/>
      <c r="F243" s="168"/>
      <c r="G243" s="168"/>
      <c r="H243" s="168"/>
      <c r="I243" s="168"/>
    </row>
    <row r="244" spans="1:9" ht="13.8">
      <c r="C244" s="170" t="s">
        <v>176</v>
      </c>
      <c r="D244" s="168"/>
      <c r="E244" s="168"/>
      <c r="F244" s="168"/>
      <c r="G244" s="168"/>
      <c r="H244" s="168"/>
      <c r="I244" s="168"/>
    </row>
    <row r="245" spans="1:9" ht="13.8">
      <c r="C245" s="170" t="s">
        <v>177</v>
      </c>
      <c r="D245" s="168"/>
      <c r="E245" s="168"/>
      <c r="F245" s="168"/>
      <c r="G245" s="168"/>
      <c r="H245" s="168"/>
      <c r="I245" s="168"/>
    </row>
    <row r="246" spans="1:9" ht="15.6">
      <c r="A246" s="169"/>
      <c r="D246" s="169"/>
      <c r="E246" s="169"/>
      <c r="F246" s="169"/>
      <c r="G246" s="169"/>
      <c r="H246" s="169"/>
    </row>
    <row r="247" spans="1:9" ht="15.6">
      <c r="A247" s="169"/>
      <c r="C247" s="144" t="s">
        <v>193</v>
      </c>
      <c r="D247" s="169"/>
      <c r="E247" s="169"/>
      <c r="F247" s="169"/>
      <c r="G247" s="169"/>
      <c r="H247" s="169"/>
    </row>
    <row r="248" spans="1:9" ht="15.6">
      <c r="A248" s="169"/>
      <c r="C248" s="170" t="s">
        <v>194</v>
      </c>
      <c r="D248" s="171"/>
      <c r="E248" s="171"/>
      <c r="F248" s="171"/>
      <c r="G248" s="171"/>
      <c r="H248" s="171"/>
      <c r="I248" s="168"/>
    </row>
    <row r="249" spans="1:9" ht="15.6">
      <c r="A249" s="169"/>
      <c r="C249" s="170" t="s">
        <v>168</v>
      </c>
      <c r="D249" s="171"/>
      <c r="E249" s="171"/>
      <c r="F249" s="171"/>
      <c r="G249" s="171"/>
      <c r="H249" s="171"/>
      <c r="I249" s="168"/>
    </row>
    <row r="250" spans="1:9" ht="15.6">
      <c r="A250" s="169"/>
      <c r="C250" s="170" t="s">
        <v>202</v>
      </c>
      <c r="D250" s="171"/>
      <c r="E250" s="171"/>
      <c r="F250" s="171"/>
      <c r="G250" s="171"/>
      <c r="H250" s="171"/>
      <c r="I250" s="168"/>
    </row>
    <row r="251" spans="1:9" ht="15.6">
      <c r="A251" s="169"/>
      <c r="C251" s="170" t="s">
        <v>176</v>
      </c>
      <c r="D251" s="171"/>
      <c r="E251" s="171"/>
      <c r="F251" s="171"/>
      <c r="G251" s="171"/>
      <c r="H251" s="171"/>
      <c r="I251" s="168"/>
    </row>
    <row r="252" spans="1:9" ht="15.6">
      <c r="A252" s="169"/>
      <c r="C252" s="170" t="s">
        <v>203</v>
      </c>
      <c r="D252" s="171"/>
      <c r="E252" s="171"/>
      <c r="F252" s="171"/>
      <c r="G252" s="171"/>
      <c r="H252" s="171"/>
      <c r="I252" s="168"/>
    </row>
    <row r="253" spans="1:9" ht="15.6">
      <c r="A253" s="169"/>
      <c r="D253" s="169"/>
      <c r="E253" s="169"/>
      <c r="F253" s="169"/>
      <c r="G253" s="169"/>
      <c r="H253" s="169"/>
    </row>
    <row r="254" spans="1:9" ht="15.6">
      <c r="A254" s="169"/>
      <c r="D254" s="169"/>
      <c r="E254" s="169"/>
      <c r="F254" s="169"/>
      <c r="G254" s="169"/>
      <c r="H254" s="169"/>
    </row>
    <row r="255" spans="1:9" ht="15.6">
      <c r="A255" s="169"/>
      <c r="B255" s="144" t="s">
        <v>201</v>
      </c>
      <c r="D255" s="169"/>
      <c r="E255" s="169"/>
      <c r="F255" s="169"/>
      <c r="G255" s="169"/>
      <c r="H255" s="169"/>
    </row>
    <row r="256" spans="1:9" ht="15.6">
      <c r="A256" s="169"/>
      <c r="C256" s="170" t="s">
        <v>204</v>
      </c>
      <c r="D256" s="171"/>
      <c r="E256" s="171"/>
      <c r="F256" s="171"/>
      <c r="G256" s="171"/>
      <c r="H256" s="171"/>
      <c r="I256" s="168"/>
    </row>
    <row r="257" spans="1:9" ht="13.8">
      <c r="C257" s="170" t="s">
        <v>205</v>
      </c>
      <c r="D257" s="168"/>
      <c r="E257" s="168"/>
      <c r="F257" s="168"/>
      <c r="G257" s="168"/>
      <c r="H257" s="168"/>
      <c r="I257" s="168"/>
    </row>
    <row r="258" spans="1:9" ht="13.8">
      <c r="C258" s="170" t="s">
        <v>206</v>
      </c>
      <c r="D258" s="168"/>
      <c r="E258" s="168"/>
      <c r="F258" s="168"/>
      <c r="G258" s="168"/>
      <c r="H258" s="168"/>
      <c r="I258" s="168"/>
    </row>
    <row r="262" spans="1:9">
      <c r="A262" s="186" t="s">
        <v>212</v>
      </c>
    </row>
  </sheetData>
  <sheetProtection sheet="1" objects="1" scenarios="1" formatCells="0"/>
  <mergeCells count="6">
    <mergeCell ref="H7:I7"/>
    <mergeCell ref="H8:I8"/>
    <mergeCell ref="H9:I9"/>
    <mergeCell ref="D2:H2"/>
    <mergeCell ref="D3:H3"/>
    <mergeCell ref="D4:H4"/>
  </mergeCells>
  <phoneticPr fontId="0" type="noConversion"/>
  <hyperlinks>
    <hyperlink ref="A262" r:id="rId1"/>
  </hyperlinks>
  <pageMargins left="0.78740157499999996" right="0.78740157499999996" top="0.984251969" bottom="0.984251969" header="0.4921259845" footer="0.4921259845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6"/>
  <dimension ref="A2:AA360"/>
  <sheetViews>
    <sheetView zoomScale="85" zoomScaleNormal="85" zoomScaleSheetLayoutView="100" workbookViewId="0">
      <selection activeCell="D2" sqref="D2:H5"/>
    </sheetView>
  </sheetViews>
  <sheetFormatPr baseColWidth="10" defaultColWidth="11.44140625" defaultRowHeight="13.2"/>
  <cols>
    <col min="1" max="1" width="16.109375" style="8" customWidth="1"/>
    <col min="2" max="2" width="15.109375" style="8" customWidth="1"/>
    <col min="3" max="3" width="10.33203125" style="8" customWidth="1"/>
    <col min="4" max="6" width="11.5546875" style="8" customWidth="1"/>
    <col min="7" max="7" width="14" style="8" customWidth="1"/>
    <col min="8" max="11" width="12.44140625" style="8" customWidth="1"/>
    <col min="12" max="12" width="10.33203125" style="8" customWidth="1"/>
    <col min="13" max="13" width="9.5546875" style="9" customWidth="1"/>
    <col min="14" max="14" width="6.5546875" style="9" customWidth="1"/>
    <col min="15" max="15" width="7.44140625" style="9" customWidth="1"/>
    <col min="16" max="16" width="6.44140625" style="9" customWidth="1"/>
    <col min="17" max="17" width="6.5546875" style="9" customWidth="1"/>
    <col min="18" max="18" width="6.109375" style="9" customWidth="1"/>
    <col min="19" max="27" width="5" style="9" customWidth="1"/>
    <col min="28" max="16384" width="11.44140625" style="9"/>
  </cols>
  <sheetData>
    <row r="2" spans="1:27" ht="16.2">
      <c r="D2" s="176" t="s">
        <v>131</v>
      </c>
      <c r="E2" s="176"/>
      <c r="F2" s="176"/>
      <c r="G2" s="176"/>
      <c r="H2" s="176"/>
    </row>
    <row r="3" spans="1:27" ht="16.2">
      <c r="D3" s="176" t="s">
        <v>132</v>
      </c>
      <c r="E3" s="176"/>
      <c r="F3" s="176"/>
      <c r="G3" s="176"/>
      <c r="H3" s="176"/>
    </row>
    <row r="4" spans="1:27" ht="16.2">
      <c r="D4" s="176" t="s">
        <v>133</v>
      </c>
      <c r="E4" s="176"/>
      <c r="F4" s="176"/>
      <c r="G4" s="176"/>
      <c r="H4" s="176"/>
    </row>
    <row r="5" spans="1:27" ht="16.2">
      <c r="D5" s="176" t="s">
        <v>134</v>
      </c>
      <c r="E5" s="176"/>
      <c r="F5" s="176"/>
      <c r="G5" s="176"/>
      <c r="H5" s="176"/>
    </row>
    <row r="6" spans="1:27" ht="13.8" thickBot="1"/>
    <row r="7" spans="1:27" ht="14.4" thickBot="1">
      <c r="A7" s="35" t="s">
        <v>1</v>
      </c>
      <c r="B7" s="36"/>
      <c r="C7" s="36"/>
      <c r="D7" s="36"/>
      <c r="E7" s="36"/>
      <c r="F7" s="40"/>
    </row>
    <row r="8" spans="1:27">
      <c r="A8" s="37"/>
      <c r="B8" s="38" t="s">
        <v>2</v>
      </c>
      <c r="C8" s="38" t="s">
        <v>3</v>
      </c>
      <c r="D8" s="38" t="s">
        <v>4</v>
      </c>
      <c r="E8" s="38" t="s">
        <v>5</v>
      </c>
      <c r="F8" s="41" t="s">
        <v>41</v>
      </c>
      <c r="H8" s="177" t="s">
        <v>6</v>
      </c>
      <c r="I8" s="183"/>
      <c r="J8" s="178"/>
      <c r="K8" s="11"/>
      <c r="L8" s="11"/>
    </row>
    <row r="9" spans="1:27">
      <c r="A9" s="39" t="s">
        <v>7</v>
      </c>
      <c r="B9" s="53" t="s">
        <v>120</v>
      </c>
      <c r="C9" s="54" t="s">
        <v>27</v>
      </c>
      <c r="D9" s="54" t="s">
        <v>28</v>
      </c>
      <c r="E9" s="54" t="s">
        <v>24</v>
      </c>
      <c r="F9" s="55" t="s">
        <v>43</v>
      </c>
      <c r="H9" s="179" t="s">
        <v>115</v>
      </c>
      <c r="I9" s="184"/>
      <c r="J9" s="180"/>
      <c r="K9" s="11"/>
      <c r="L9" s="11"/>
    </row>
    <row r="10" spans="1:27" ht="13.8" thickBot="1">
      <c r="A10" s="39" t="s">
        <v>8</v>
      </c>
      <c r="B10" s="53" t="s">
        <v>29</v>
      </c>
      <c r="C10" s="53" t="s">
        <v>30</v>
      </c>
      <c r="D10" s="53" t="s">
        <v>31</v>
      </c>
      <c r="E10" s="53" t="s">
        <v>44</v>
      </c>
      <c r="F10" s="42"/>
      <c r="H10" s="174" t="s">
        <v>9</v>
      </c>
      <c r="I10" s="182"/>
      <c r="J10" s="175"/>
      <c r="K10" s="11"/>
      <c r="L10" s="11"/>
    </row>
    <row r="11" spans="1:27">
      <c r="A11" s="39" t="s">
        <v>25</v>
      </c>
      <c r="B11" s="53" t="s">
        <v>32</v>
      </c>
      <c r="C11" s="53" t="s">
        <v>33</v>
      </c>
      <c r="D11" s="53" t="s">
        <v>34</v>
      </c>
      <c r="E11" s="43"/>
      <c r="F11" s="42"/>
    </row>
    <row r="12" spans="1:27" ht="13.8" thickBot="1">
      <c r="A12" s="44" t="s">
        <v>35</v>
      </c>
      <c r="B12" s="56" t="s">
        <v>36</v>
      </c>
      <c r="C12" s="56" t="s">
        <v>37</v>
      </c>
      <c r="D12" s="56" t="s">
        <v>38</v>
      </c>
      <c r="E12" s="45"/>
      <c r="F12" s="46"/>
      <c r="G12" s="9"/>
    </row>
    <row r="13" spans="1:27" ht="21.6" customHeight="1">
      <c r="G13" s="92" t="s">
        <v>114</v>
      </c>
      <c r="H13" s="13"/>
      <c r="I13" s="13"/>
      <c r="J13" s="13"/>
    </row>
    <row r="14" spans="1:27" ht="13.8">
      <c r="A14" s="47" t="s">
        <v>10</v>
      </c>
      <c r="B14" s="48" t="str">
        <f>B9</f>
        <v>Temp.</v>
      </c>
      <c r="C14" s="48" t="str">
        <f>B10</f>
        <v>Moût</v>
      </c>
      <c r="D14" s="48" t="str">
        <f>B11</f>
        <v>Durée</v>
      </c>
      <c r="E14" s="48" t="str">
        <f>B12</f>
        <v>Oxyg.</v>
      </c>
      <c r="F14" s="47" t="s">
        <v>11</v>
      </c>
      <c r="G14" s="49" t="s">
        <v>12</v>
      </c>
      <c r="H14" s="49" t="s">
        <v>13</v>
      </c>
      <c r="I14" s="49" t="s">
        <v>14</v>
      </c>
      <c r="J14" s="49" t="s">
        <v>15</v>
      </c>
      <c r="K14" s="49" t="s">
        <v>16</v>
      </c>
      <c r="L14" s="14"/>
    </row>
    <row r="15" spans="1:27" ht="13.8">
      <c r="A15" s="50">
        <v>1</v>
      </c>
      <c r="B15" s="51" t="str">
        <f>C$9</f>
        <v>10°C</v>
      </c>
      <c r="C15" s="51" t="str">
        <f>C$10</f>
        <v>10%</v>
      </c>
      <c r="D15" s="51" t="str">
        <f>C$11</f>
        <v>1 h.</v>
      </c>
      <c r="E15" s="51" t="str">
        <f>C$12</f>
        <v>Non</v>
      </c>
      <c r="F15" s="52">
        <f t="shared" ref="F15:F62" si="0">MEDIAN(G15:K15)</f>
        <v>141</v>
      </c>
      <c r="G15" s="57">
        <v>141</v>
      </c>
      <c r="H15" s="57"/>
      <c r="I15" s="57"/>
      <c r="J15" s="57"/>
      <c r="K15" s="57"/>
      <c r="L15" s="14"/>
    </row>
    <row r="16" spans="1:27" ht="13.8">
      <c r="A16" s="50">
        <v>2</v>
      </c>
      <c r="B16" s="51" t="str">
        <f t="shared" ref="B16:B26" si="1">C$9</f>
        <v>10°C</v>
      </c>
      <c r="C16" s="51" t="str">
        <f t="shared" ref="C16:C18" si="2">C$10</f>
        <v>10%</v>
      </c>
      <c r="D16" s="51" t="str">
        <f>C$11</f>
        <v>1 h.</v>
      </c>
      <c r="E16" s="51" t="str">
        <f>D$12</f>
        <v>Oui</v>
      </c>
      <c r="F16" s="52">
        <f t="shared" si="0"/>
        <v>190</v>
      </c>
      <c r="G16" s="57">
        <v>190</v>
      </c>
      <c r="H16" s="57"/>
      <c r="I16" s="57"/>
      <c r="J16" s="57"/>
      <c r="K16" s="57"/>
      <c r="L16" s="14"/>
      <c r="N16" s="9" t="str">
        <f>C9</f>
        <v>10°C</v>
      </c>
      <c r="O16" s="9" t="str">
        <f>D9</f>
        <v>20°C</v>
      </c>
      <c r="P16" s="15" t="str">
        <f>E9</f>
        <v>30°C</v>
      </c>
      <c r="Q16" s="15" t="str">
        <f>F9</f>
        <v>40°C</v>
      </c>
      <c r="R16" s="9" t="s">
        <v>50</v>
      </c>
      <c r="S16" s="9" t="str">
        <f>C10</f>
        <v>10%</v>
      </c>
      <c r="T16" s="9" t="str">
        <f>D10</f>
        <v>30%</v>
      </c>
      <c r="U16" s="15" t="str">
        <f>E10</f>
        <v>50%</v>
      </c>
      <c r="V16" s="9" t="s">
        <v>50</v>
      </c>
      <c r="W16" s="9" t="str">
        <f>C11</f>
        <v>1 h.</v>
      </c>
      <c r="X16" s="9" t="str">
        <f>D11</f>
        <v>3 h.</v>
      </c>
      <c r="Y16" s="9" t="s">
        <v>50</v>
      </c>
      <c r="Z16" s="9" t="str">
        <f>C12</f>
        <v>Non</v>
      </c>
      <c r="AA16" s="9" t="str">
        <f>D12</f>
        <v>Oui</v>
      </c>
    </row>
    <row r="17" spans="1:27" ht="13.8">
      <c r="A17" s="50">
        <v>3</v>
      </c>
      <c r="B17" s="51" t="str">
        <f t="shared" si="1"/>
        <v>10°C</v>
      </c>
      <c r="C17" s="51" t="str">
        <f t="shared" si="2"/>
        <v>10%</v>
      </c>
      <c r="D17" s="51" t="str">
        <f>D$11</f>
        <v>3 h.</v>
      </c>
      <c r="E17" s="51" t="str">
        <f>C$12</f>
        <v>Non</v>
      </c>
      <c r="F17" s="52">
        <f t="shared" si="0"/>
        <v>150</v>
      </c>
      <c r="G17" s="57">
        <v>150</v>
      </c>
      <c r="H17" s="57"/>
      <c r="I17" s="57"/>
      <c r="J17" s="57"/>
      <c r="K17" s="57"/>
      <c r="L17" s="14"/>
      <c r="N17" s="9" t="str">
        <f>B9</f>
        <v>Temp.</v>
      </c>
      <c r="O17" s="9" t="str">
        <f>B9</f>
        <v>Temp.</v>
      </c>
      <c r="P17" s="15" t="str">
        <f>B9</f>
        <v>Temp.</v>
      </c>
      <c r="Q17" s="15" t="str">
        <f>B9</f>
        <v>Temp.</v>
      </c>
      <c r="S17" s="9" t="str">
        <f>B10</f>
        <v>Moût</v>
      </c>
      <c r="T17" s="9" t="str">
        <f>B10</f>
        <v>Moût</v>
      </c>
      <c r="U17" s="15" t="str">
        <f>B10</f>
        <v>Moût</v>
      </c>
      <c r="W17" s="9" t="str">
        <f>B11</f>
        <v>Durée</v>
      </c>
      <c r="X17" s="9" t="str">
        <f>B11</f>
        <v>Durée</v>
      </c>
      <c r="Z17" s="9" t="str">
        <f>B12</f>
        <v>Oxyg.</v>
      </c>
      <c r="AA17" s="9" t="str">
        <f>B12</f>
        <v>Oxyg.</v>
      </c>
    </row>
    <row r="18" spans="1:27" ht="13.8">
      <c r="A18" s="50">
        <v>4</v>
      </c>
      <c r="B18" s="51" t="str">
        <f t="shared" si="1"/>
        <v>10°C</v>
      </c>
      <c r="C18" s="51" t="str">
        <f t="shared" si="2"/>
        <v>10%</v>
      </c>
      <c r="D18" s="51" t="str">
        <f>D$11</f>
        <v>3 h.</v>
      </c>
      <c r="E18" s="51" t="str">
        <f>D$12</f>
        <v>Oui</v>
      </c>
      <c r="F18" s="52">
        <f t="shared" si="0"/>
        <v>180</v>
      </c>
      <c r="G18" s="57">
        <v>180</v>
      </c>
      <c r="H18" s="57"/>
      <c r="I18" s="57"/>
      <c r="J18" s="57"/>
      <c r="K18" s="57"/>
      <c r="L18" s="14"/>
      <c r="M18" s="16" t="s">
        <v>2</v>
      </c>
      <c r="N18" s="17">
        <f>B65+(C65)</f>
        <v>199.25</v>
      </c>
      <c r="O18" s="17">
        <f>B66+(C66)</f>
        <v>541.25</v>
      </c>
      <c r="P18" s="17">
        <f>B67+C67</f>
        <v>931.25</v>
      </c>
      <c r="Q18" s="18">
        <f>B68+C68</f>
        <v>1243.7083333333333</v>
      </c>
      <c r="R18" s="17"/>
      <c r="S18" s="17">
        <f>B65+(D65)</f>
        <v>642.25</v>
      </c>
      <c r="T18" s="17">
        <f>B66+D66</f>
        <v>678.09375</v>
      </c>
      <c r="U18" s="17">
        <f>B67+D67</f>
        <v>866.25</v>
      </c>
      <c r="V18" s="17"/>
      <c r="W18" s="17">
        <f>B65+E65</f>
        <v>679.70833333333337</v>
      </c>
      <c r="X18" s="17">
        <f>B66+E66</f>
        <v>778.02083333333337</v>
      </c>
      <c r="Y18" s="19"/>
      <c r="Z18" s="19">
        <f>B65+F65</f>
        <v>692.9375</v>
      </c>
      <c r="AA18" s="19">
        <f>B66+F66</f>
        <v>764.79166666666663</v>
      </c>
    </row>
    <row r="19" spans="1:27" ht="13.8">
      <c r="A19" s="50">
        <v>5</v>
      </c>
      <c r="B19" s="51" t="str">
        <f t="shared" si="1"/>
        <v>10°C</v>
      </c>
      <c r="C19" s="51" t="str">
        <f>D$10</f>
        <v>30%</v>
      </c>
      <c r="D19" s="51" t="str">
        <f>C$11</f>
        <v>1 h.</v>
      </c>
      <c r="E19" s="51" t="str">
        <f>C$12</f>
        <v>Non</v>
      </c>
      <c r="F19" s="52">
        <f t="shared" si="0"/>
        <v>102.5</v>
      </c>
      <c r="G19" s="57">
        <v>102.5</v>
      </c>
      <c r="H19" s="57"/>
      <c r="I19" s="57"/>
      <c r="J19" s="57"/>
      <c r="K19" s="57"/>
      <c r="L19" s="14"/>
      <c r="M19" s="16" t="s">
        <v>51</v>
      </c>
      <c r="N19" s="19">
        <f t="shared" ref="N19:AA19" si="3">$B$65</f>
        <v>728.86458333333337</v>
      </c>
      <c r="O19" s="19">
        <f t="shared" si="3"/>
        <v>728.86458333333337</v>
      </c>
      <c r="P19" s="19">
        <f t="shared" si="3"/>
        <v>728.86458333333337</v>
      </c>
      <c r="Q19" s="19">
        <f t="shared" si="3"/>
        <v>728.86458333333337</v>
      </c>
      <c r="R19" s="19">
        <f t="shared" si="3"/>
        <v>728.86458333333337</v>
      </c>
      <c r="S19" s="19">
        <f t="shared" si="3"/>
        <v>728.86458333333337</v>
      </c>
      <c r="T19" s="19">
        <f t="shared" si="3"/>
        <v>728.86458333333337</v>
      </c>
      <c r="U19" s="19">
        <f t="shared" si="3"/>
        <v>728.86458333333337</v>
      </c>
      <c r="V19" s="19">
        <f t="shared" si="3"/>
        <v>728.86458333333337</v>
      </c>
      <c r="W19" s="19">
        <f t="shared" si="3"/>
        <v>728.86458333333337</v>
      </c>
      <c r="X19" s="19">
        <f t="shared" si="3"/>
        <v>728.86458333333337</v>
      </c>
      <c r="Y19" s="19">
        <f t="shared" si="3"/>
        <v>728.86458333333337</v>
      </c>
      <c r="Z19" s="19">
        <f t="shared" si="3"/>
        <v>728.86458333333337</v>
      </c>
      <c r="AA19" s="19">
        <f t="shared" si="3"/>
        <v>728.86458333333337</v>
      </c>
    </row>
    <row r="20" spans="1:27" ht="13.8">
      <c r="A20" s="50">
        <v>6</v>
      </c>
      <c r="B20" s="51" t="str">
        <f t="shared" si="1"/>
        <v>10°C</v>
      </c>
      <c r="C20" s="51" t="str">
        <f t="shared" ref="C20:C22" si="4">D$10</f>
        <v>30%</v>
      </c>
      <c r="D20" s="51" t="str">
        <f>C$11</f>
        <v>1 h.</v>
      </c>
      <c r="E20" s="51" t="str">
        <f>D$12</f>
        <v>Oui</v>
      </c>
      <c r="F20" s="52">
        <f t="shared" si="0"/>
        <v>135</v>
      </c>
      <c r="G20" s="57">
        <v>135</v>
      </c>
      <c r="H20" s="57"/>
      <c r="I20" s="57"/>
      <c r="J20" s="57"/>
      <c r="K20" s="57"/>
      <c r="L20" s="14"/>
      <c r="O20" s="15" t="str">
        <f>B9</f>
        <v>Temp.</v>
      </c>
      <c r="P20" s="15" t="str">
        <f>B9</f>
        <v>Temp.</v>
      </c>
      <c r="Q20" s="15" t="str">
        <f>B9</f>
        <v>Temp.</v>
      </c>
      <c r="R20" s="15"/>
      <c r="S20" s="20" t="s">
        <v>39</v>
      </c>
    </row>
    <row r="21" spans="1:27" ht="13.8">
      <c r="A21" s="50">
        <v>7</v>
      </c>
      <c r="B21" s="51" t="str">
        <f t="shared" si="1"/>
        <v>10°C</v>
      </c>
      <c r="C21" s="51" t="str">
        <f t="shared" si="4"/>
        <v>30%</v>
      </c>
      <c r="D21" s="51" t="str">
        <f>D$11</f>
        <v>3 h.</v>
      </c>
      <c r="E21" s="51" t="str">
        <f>C$12</f>
        <v>Non</v>
      </c>
      <c r="F21" s="52">
        <f t="shared" si="0"/>
        <v>167.5</v>
      </c>
      <c r="G21" s="57">
        <v>167.5</v>
      </c>
      <c r="H21" s="57"/>
      <c r="I21" s="57"/>
      <c r="J21" s="57"/>
      <c r="K21" s="57"/>
      <c r="L21" s="14"/>
      <c r="O21" s="15"/>
      <c r="P21" s="15"/>
      <c r="Q21" s="15"/>
      <c r="R21" s="15"/>
      <c r="S21" s="20"/>
    </row>
    <row r="22" spans="1:27" ht="13.8">
      <c r="A22" s="50">
        <v>8</v>
      </c>
      <c r="B22" s="51" t="str">
        <f t="shared" si="1"/>
        <v>10°C</v>
      </c>
      <c r="C22" s="51" t="str">
        <f t="shared" si="4"/>
        <v>30%</v>
      </c>
      <c r="D22" s="51" t="str">
        <f>D$11</f>
        <v>3 h.</v>
      </c>
      <c r="E22" s="51" t="str">
        <f>D$12</f>
        <v>Oui</v>
      </c>
      <c r="F22" s="52">
        <f t="shared" si="0"/>
        <v>200</v>
      </c>
      <c r="G22" s="57">
        <v>200</v>
      </c>
      <c r="H22" s="57"/>
      <c r="I22" s="57"/>
      <c r="J22" s="57"/>
      <c r="K22" s="57"/>
      <c r="L22" s="14"/>
      <c r="O22" s="15"/>
      <c r="P22" s="15"/>
      <c r="Q22" s="15"/>
      <c r="R22" s="15"/>
      <c r="S22" s="20"/>
    </row>
    <row r="23" spans="1:27" ht="13.8">
      <c r="A23" s="50">
        <v>9</v>
      </c>
      <c r="B23" s="51" t="str">
        <f t="shared" si="1"/>
        <v>10°C</v>
      </c>
      <c r="C23" s="51" t="str">
        <f>E$10</f>
        <v>50%</v>
      </c>
      <c r="D23" s="51" t="str">
        <f>C$11</f>
        <v>1 h.</v>
      </c>
      <c r="E23" s="51" t="str">
        <f>C$12</f>
        <v>Non</v>
      </c>
      <c r="F23" s="52">
        <f t="shared" si="0"/>
        <v>232.5</v>
      </c>
      <c r="G23" s="57">
        <v>232.5</v>
      </c>
      <c r="H23" s="57"/>
      <c r="I23" s="57"/>
      <c r="J23" s="57"/>
      <c r="K23" s="57"/>
      <c r="L23" s="14"/>
      <c r="O23" s="15"/>
      <c r="P23" s="15"/>
      <c r="Q23" s="15"/>
      <c r="R23" s="15"/>
      <c r="S23" s="20"/>
    </row>
    <row r="24" spans="1:27" ht="13.8">
      <c r="A24" s="50">
        <v>10</v>
      </c>
      <c r="B24" s="51" t="str">
        <f t="shared" si="1"/>
        <v>10°C</v>
      </c>
      <c r="C24" s="51" t="str">
        <f t="shared" ref="C24:C26" si="5">E$10</f>
        <v>50%</v>
      </c>
      <c r="D24" s="51" t="str">
        <f>C$11</f>
        <v>1 h.</v>
      </c>
      <c r="E24" s="51" t="str">
        <f>D$12</f>
        <v>Oui</v>
      </c>
      <c r="F24" s="52">
        <f t="shared" si="0"/>
        <v>265</v>
      </c>
      <c r="G24" s="57">
        <v>265</v>
      </c>
      <c r="H24" s="57"/>
      <c r="I24" s="57"/>
      <c r="J24" s="57"/>
      <c r="K24" s="57"/>
      <c r="L24" s="14"/>
      <c r="O24" s="15"/>
      <c r="P24" s="15"/>
      <c r="Q24" s="15"/>
      <c r="R24" s="15"/>
      <c r="S24" s="20"/>
    </row>
    <row r="25" spans="1:27" ht="13.8">
      <c r="A25" s="50">
        <v>11</v>
      </c>
      <c r="B25" s="51" t="str">
        <f t="shared" si="1"/>
        <v>10°C</v>
      </c>
      <c r="C25" s="51" t="str">
        <f t="shared" si="5"/>
        <v>50%</v>
      </c>
      <c r="D25" s="51" t="str">
        <f>D$11</f>
        <v>3 h.</v>
      </c>
      <c r="E25" s="51" t="str">
        <f>C$12</f>
        <v>Non</v>
      </c>
      <c r="F25" s="52">
        <f t="shared" si="0"/>
        <v>297.5</v>
      </c>
      <c r="G25" s="57">
        <v>297.5</v>
      </c>
      <c r="H25" s="57"/>
      <c r="I25" s="57"/>
      <c r="J25" s="57"/>
      <c r="K25" s="57"/>
      <c r="L25" s="14"/>
      <c r="M25" s="21"/>
      <c r="N25" s="21"/>
      <c r="O25" s="21"/>
      <c r="P25" s="21"/>
      <c r="Q25" s="21"/>
      <c r="R25" s="21"/>
      <c r="S25" s="22"/>
    </row>
    <row r="26" spans="1:27" ht="13.8">
      <c r="A26" s="50">
        <v>12</v>
      </c>
      <c r="B26" s="51" t="str">
        <f t="shared" si="1"/>
        <v>10°C</v>
      </c>
      <c r="C26" s="51" t="str">
        <f t="shared" si="5"/>
        <v>50%</v>
      </c>
      <c r="D26" s="51" t="str">
        <f>D$11</f>
        <v>3 h.</v>
      </c>
      <c r="E26" s="51" t="str">
        <f>D$12</f>
        <v>Oui</v>
      </c>
      <c r="F26" s="52">
        <f t="shared" si="0"/>
        <v>330</v>
      </c>
      <c r="G26" s="57">
        <v>330</v>
      </c>
      <c r="H26" s="57"/>
      <c r="I26" s="57"/>
      <c r="J26" s="57"/>
      <c r="K26" s="57"/>
      <c r="L26" s="14"/>
      <c r="M26" s="21"/>
      <c r="N26" s="21"/>
      <c r="O26" s="15" t="str">
        <f>B9</f>
        <v>Temp.</v>
      </c>
      <c r="P26" s="15" t="str">
        <f>B9</f>
        <v>Temp.</v>
      </c>
      <c r="Q26" s="15" t="str">
        <f>B9</f>
        <v>Temp.</v>
      </c>
      <c r="R26" s="15" t="str">
        <f>B9</f>
        <v>Temp.</v>
      </c>
      <c r="S26" s="22"/>
    </row>
    <row r="27" spans="1:27" ht="13.8">
      <c r="A27" s="50">
        <v>13</v>
      </c>
      <c r="B27" s="51" t="str">
        <f>D$9</f>
        <v>20°C</v>
      </c>
      <c r="C27" s="51" t="str">
        <f>C$10</f>
        <v>10%</v>
      </c>
      <c r="D27" s="51" t="str">
        <f>C$11</f>
        <v>1 h.</v>
      </c>
      <c r="E27" s="51" t="str">
        <f>C$12</f>
        <v>Non</v>
      </c>
      <c r="F27" s="52">
        <f t="shared" si="0"/>
        <v>362.5</v>
      </c>
      <c r="G27" s="57">
        <v>362.5</v>
      </c>
      <c r="H27" s="57"/>
      <c r="I27" s="57"/>
      <c r="J27" s="57"/>
      <c r="K27" s="57"/>
      <c r="L27" s="14"/>
      <c r="M27" s="21"/>
      <c r="N27" s="21"/>
      <c r="O27" s="21" t="str">
        <f>C9</f>
        <v>10°C</v>
      </c>
      <c r="P27" s="21" t="str">
        <f>D9</f>
        <v>20°C</v>
      </c>
      <c r="Q27" s="21" t="str">
        <f>E9</f>
        <v>30°C</v>
      </c>
      <c r="R27" s="21" t="str">
        <f>F9</f>
        <v>40°C</v>
      </c>
      <c r="S27" s="22"/>
      <c r="T27" s="20"/>
    </row>
    <row r="28" spans="1:27" ht="13.8">
      <c r="A28" s="50">
        <v>14</v>
      </c>
      <c r="B28" s="51" t="str">
        <f t="shared" ref="B28:B38" si="6">D$9</f>
        <v>20°C</v>
      </c>
      <c r="C28" s="51" t="str">
        <f t="shared" ref="C28:C30" si="7">C$10</f>
        <v>10%</v>
      </c>
      <c r="D28" s="51" t="str">
        <f>C$11</f>
        <v>1 h.</v>
      </c>
      <c r="E28" s="51" t="str">
        <f>D$12</f>
        <v>Oui</v>
      </c>
      <c r="F28" s="52">
        <f t="shared" si="0"/>
        <v>395</v>
      </c>
      <c r="G28" s="57">
        <v>395</v>
      </c>
      <c r="H28" s="57"/>
      <c r="I28" s="57"/>
      <c r="J28" s="57"/>
      <c r="K28" s="57"/>
      <c r="L28" s="14"/>
      <c r="M28" s="15" t="str">
        <f>C10</f>
        <v>10%</v>
      </c>
      <c r="N28" s="15" t="str">
        <f>B10</f>
        <v>Moût</v>
      </c>
      <c r="O28" s="21">
        <f>AVERAGE(PA1B1)</f>
        <v>165.25</v>
      </c>
      <c r="P28" s="21">
        <f>AVERAGE(PA2B1)</f>
        <v>411.25</v>
      </c>
      <c r="Q28" s="21">
        <f>AVERAGE(PA3B1)</f>
        <v>801.25</v>
      </c>
      <c r="R28" s="21">
        <f>AVERAGE(PA4B1)</f>
        <v>1191.25</v>
      </c>
      <c r="S28" s="22"/>
      <c r="T28" s="20"/>
    </row>
    <row r="29" spans="1:27" ht="13.8">
      <c r="A29" s="50">
        <v>15</v>
      </c>
      <c r="B29" s="51" t="str">
        <f t="shared" si="6"/>
        <v>20°C</v>
      </c>
      <c r="C29" s="51" t="str">
        <f t="shared" si="7"/>
        <v>10%</v>
      </c>
      <c r="D29" s="51" t="str">
        <f>D$11</f>
        <v>3 h.</v>
      </c>
      <c r="E29" s="51" t="str">
        <f>C$12</f>
        <v>Non</v>
      </c>
      <c r="F29" s="52">
        <f t="shared" si="0"/>
        <v>427.5</v>
      </c>
      <c r="G29" s="57">
        <v>427.5</v>
      </c>
      <c r="H29" s="57"/>
      <c r="I29" s="57"/>
      <c r="J29" s="57"/>
      <c r="K29" s="57"/>
      <c r="L29" s="14"/>
      <c r="M29" s="15" t="str">
        <f>D10</f>
        <v>30%</v>
      </c>
      <c r="N29" s="15" t="str">
        <f>B10</f>
        <v>Moût</v>
      </c>
      <c r="O29" s="21">
        <f>AVERAGE(PA1B2)</f>
        <v>151.25</v>
      </c>
      <c r="P29" s="21">
        <f>AVERAGE(PA2B2)</f>
        <v>541.25</v>
      </c>
      <c r="Q29" s="21">
        <f>AVERAGE(PA3B2)</f>
        <v>931.25</v>
      </c>
      <c r="R29" s="21">
        <f>AVERAGE(PA4B2)</f>
        <v>1088.625</v>
      </c>
      <c r="S29" s="22"/>
      <c r="T29" s="20"/>
    </row>
    <row r="30" spans="1:27" ht="13.8">
      <c r="A30" s="50">
        <v>16</v>
      </c>
      <c r="B30" s="51" t="str">
        <f t="shared" si="6"/>
        <v>20°C</v>
      </c>
      <c r="C30" s="51" t="str">
        <f t="shared" si="7"/>
        <v>10%</v>
      </c>
      <c r="D30" s="51" t="str">
        <f>D$11</f>
        <v>3 h.</v>
      </c>
      <c r="E30" s="51" t="str">
        <f>D$12</f>
        <v>Oui</v>
      </c>
      <c r="F30" s="52">
        <f t="shared" si="0"/>
        <v>460</v>
      </c>
      <c r="G30" s="57">
        <v>460</v>
      </c>
      <c r="H30" s="57"/>
      <c r="I30" s="57"/>
      <c r="J30" s="57"/>
      <c r="K30" s="57"/>
      <c r="L30" s="14"/>
      <c r="M30" s="15" t="str">
        <f>E10</f>
        <v>50%</v>
      </c>
      <c r="N30" s="15" t="str">
        <f>B10</f>
        <v>Moût</v>
      </c>
      <c r="O30" s="21">
        <f>AVERAGE(PA1B3)</f>
        <v>281.25</v>
      </c>
      <c r="P30" s="21">
        <f>AVERAGE(PA2B3)</f>
        <v>671.25</v>
      </c>
      <c r="Q30" s="21">
        <f>AVERAGE(PA3B3)</f>
        <v>1061.25</v>
      </c>
      <c r="R30" s="21">
        <f>AVERAGE(PA4B3)</f>
        <v>1451.25</v>
      </c>
      <c r="S30" s="22"/>
      <c r="T30" s="20"/>
    </row>
    <row r="31" spans="1:27" ht="13.8">
      <c r="A31" s="50">
        <v>17</v>
      </c>
      <c r="B31" s="51" t="str">
        <f t="shared" si="6"/>
        <v>20°C</v>
      </c>
      <c r="C31" s="51" t="str">
        <f>D$10</f>
        <v>30%</v>
      </c>
      <c r="D31" s="51" t="str">
        <f>C$11</f>
        <v>1 h.</v>
      </c>
      <c r="E31" s="51" t="str">
        <f>C$12</f>
        <v>Non</v>
      </c>
      <c r="F31" s="52">
        <f t="shared" si="0"/>
        <v>492.5</v>
      </c>
      <c r="G31" s="57">
        <v>492.5</v>
      </c>
      <c r="H31" s="57"/>
      <c r="I31" s="57"/>
      <c r="J31" s="57"/>
      <c r="K31" s="57"/>
      <c r="L31" s="14"/>
      <c r="M31" s="21" t="s">
        <v>50</v>
      </c>
      <c r="N31" s="21"/>
      <c r="O31" s="21"/>
      <c r="P31" s="21"/>
      <c r="Q31" s="21"/>
      <c r="R31" s="21"/>
      <c r="S31" s="22"/>
      <c r="T31" s="20"/>
    </row>
    <row r="32" spans="1:27" ht="13.8">
      <c r="A32" s="50">
        <v>18</v>
      </c>
      <c r="B32" s="51" t="str">
        <f t="shared" si="6"/>
        <v>20°C</v>
      </c>
      <c r="C32" s="51" t="str">
        <f t="shared" ref="C32:C34" si="8">D$10</f>
        <v>30%</v>
      </c>
      <c r="D32" s="51" t="str">
        <f>C$11</f>
        <v>1 h.</v>
      </c>
      <c r="E32" s="51" t="str">
        <f>D$12</f>
        <v>Oui</v>
      </c>
      <c r="F32" s="52">
        <f t="shared" si="0"/>
        <v>525</v>
      </c>
      <c r="G32" s="57">
        <v>525</v>
      </c>
      <c r="H32" s="57"/>
      <c r="I32" s="57"/>
      <c r="J32" s="57"/>
      <c r="K32" s="57"/>
      <c r="L32" s="14"/>
      <c r="M32" s="15" t="str">
        <f>C11</f>
        <v>1 h.</v>
      </c>
      <c r="N32" s="15" t="str">
        <f>B11</f>
        <v>Durée</v>
      </c>
      <c r="O32" s="21">
        <f>AVERAGE(PA1C1)</f>
        <v>177.66666666666666</v>
      </c>
      <c r="P32" s="21">
        <f>AVERAGE(PA2C1)</f>
        <v>508.75</v>
      </c>
      <c r="Q32" s="21">
        <f>AVERAGE(PA3C1)</f>
        <v>898.75</v>
      </c>
      <c r="R32" s="21">
        <f>AVERAGE(PA4C1)</f>
        <v>1133.6666666666667</v>
      </c>
      <c r="S32" s="22"/>
      <c r="T32" s="20"/>
    </row>
    <row r="33" spans="1:20" ht="13.8">
      <c r="A33" s="50">
        <v>19</v>
      </c>
      <c r="B33" s="51" t="str">
        <f t="shared" si="6"/>
        <v>20°C</v>
      </c>
      <c r="C33" s="51" t="str">
        <f t="shared" si="8"/>
        <v>30%</v>
      </c>
      <c r="D33" s="51" t="str">
        <f>D$11</f>
        <v>3 h.</v>
      </c>
      <c r="E33" s="51" t="str">
        <f>C$12</f>
        <v>Non</v>
      </c>
      <c r="F33" s="52">
        <f t="shared" si="0"/>
        <v>557.5</v>
      </c>
      <c r="G33" s="57">
        <v>557.5</v>
      </c>
      <c r="H33" s="57"/>
      <c r="I33" s="57"/>
      <c r="J33" s="57"/>
      <c r="K33" s="57"/>
      <c r="L33" s="14"/>
      <c r="M33" s="15" t="str">
        <f>D11</f>
        <v>3 h.</v>
      </c>
      <c r="N33" s="15" t="str">
        <f>B11</f>
        <v>Durée</v>
      </c>
      <c r="O33" s="21">
        <f>AVERAGE(PA1C2)</f>
        <v>220.83333333333334</v>
      </c>
      <c r="P33" s="21">
        <f>AVERAGE(PA2C2)</f>
        <v>573.75</v>
      </c>
      <c r="Q33" s="21">
        <f>AVERAGE(PA3C2)</f>
        <v>963.75</v>
      </c>
      <c r="R33" s="21">
        <f>AVERAGE(PA4C2)</f>
        <v>1353.75</v>
      </c>
      <c r="S33" s="22"/>
      <c r="T33" s="20"/>
    </row>
    <row r="34" spans="1:20" ht="13.8">
      <c r="A34" s="50">
        <v>20</v>
      </c>
      <c r="B34" s="51" t="str">
        <f t="shared" si="6"/>
        <v>20°C</v>
      </c>
      <c r="C34" s="51" t="str">
        <f t="shared" si="8"/>
        <v>30%</v>
      </c>
      <c r="D34" s="51" t="str">
        <f>D$11</f>
        <v>3 h.</v>
      </c>
      <c r="E34" s="51" t="str">
        <f>D$12</f>
        <v>Oui</v>
      </c>
      <c r="F34" s="52">
        <f t="shared" si="0"/>
        <v>590</v>
      </c>
      <c r="G34" s="57">
        <v>590</v>
      </c>
      <c r="H34" s="57"/>
      <c r="I34" s="57"/>
      <c r="J34" s="57"/>
      <c r="K34" s="57"/>
      <c r="L34" s="14"/>
      <c r="M34" s="21" t="s">
        <v>50</v>
      </c>
      <c r="N34" s="21"/>
      <c r="O34" s="21"/>
      <c r="P34" s="21"/>
      <c r="Q34" s="21"/>
      <c r="R34" s="21"/>
      <c r="S34" s="22"/>
      <c r="T34" s="20"/>
    </row>
    <row r="35" spans="1:20" ht="13.8">
      <c r="A35" s="50">
        <v>21</v>
      </c>
      <c r="B35" s="51" t="str">
        <f t="shared" si="6"/>
        <v>20°C</v>
      </c>
      <c r="C35" s="51" t="str">
        <f>E$10</f>
        <v>50%</v>
      </c>
      <c r="D35" s="51" t="str">
        <f>C$11</f>
        <v>1 h.</v>
      </c>
      <c r="E35" s="51" t="str">
        <f>C$12</f>
        <v>Non</v>
      </c>
      <c r="F35" s="52">
        <f t="shared" si="0"/>
        <v>622.5</v>
      </c>
      <c r="G35" s="57">
        <v>622.5</v>
      </c>
      <c r="H35" s="57"/>
      <c r="I35" s="57"/>
      <c r="J35" s="57"/>
      <c r="K35" s="57"/>
      <c r="L35" s="14"/>
      <c r="M35" s="15" t="str">
        <f>C12</f>
        <v>Non</v>
      </c>
      <c r="N35" s="15" t="str">
        <f>B12</f>
        <v>Oxyg.</v>
      </c>
      <c r="O35" s="21">
        <f>AVERAGE(PA1D1)</f>
        <v>181.83333333333334</v>
      </c>
      <c r="P35" s="21">
        <f>AVERAGE(PA2D1)</f>
        <v>525</v>
      </c>
      <c r="Q35" s="21">
        <f>AVERAGE(PA3D1)</f>
        <v>915</v>
      </c>
      <c r="R35" s="21">
        <f>AVERAGE(PA4D1)</f>
        <v>1149.9166666666667</v>
      </c>
      <c r="S35" s="22"/>
      <c r="T35" s="20"/>
    </row>
    <row r="36" spans="1:20" ht="13.8">
      <c r="A36" s="50">
        <v>22</v>
      </c>
      <c r="B36" s="51" t="str">
        <f t="shared" si="6"/>
        <v>20°C</v>
      </c>
      <c r="C36" s="51" t="str">
        <f t="shared" ref="C36:C38" si="9">E$10</f>
        <v>50%</v>
      </c>
      <c r="D36" s="51" t="str">
        <f>C$11</f>
        <v>1 h.</v>
      </c>
      <c r="E36" s="51" t="str">
        <f>D$12</f>
        <v>Oui</v>
      </c>
      <c r="F36" s="52">
        <f t="shared" si="0"/>
        <v>655</v>
      </c>
      <c r="G36" s="57">
        <v>655</v>
      </c>
      <c r="H36" s="57"/>
      <c r="I36" s="57"/>
      <c r="J36" s="57"/>
      <c r="K36" s="57"/>
      <c r="L36" s="14"/>
      <c r="M36" s="15" t="str">
        <f>D12</f>
        <v>Oui</v>
      </c>
      <c r="N36" s="15" t="str">
        <f>B12</f>
        <v>Oxyg.</v>
      </c>
      <c r="O36" s="21">
        <f>AVERAGE(PA1D2)</f>
        <v>216.66666666666666</v>
      </c>
      <c r="P36" s="21">
        <f>AVERAGE(PA2D2)</f>
        <v>557.5</v>
      </c>
      <c r="Q36" s="21">
        <f>AVERAGE(PA3D2)</f>
        <v>947.5</v>
      </c>
      <c r="R36" s="21">
        <f>AVERAGE(PA4D2)</f>
        <v>1337.5</v>
      </c>
      <c r="S36" s="22"/>
      <c r="T36" s="20"/>
    </row>
    <row r="37" spans="1:20" ht="13.8">
      <c r="A37" s="50">
        <v>23</v>
      </c>
      <c r="B37" s="51" t="str">
        <f t="shared" si="6"/>
        <v>20°C</v>
      </c>
      <c r="C37" s="51" t="str">
        <f t="shared" si="9"/>
        <v>50%</v>
      </c>
      <c r="D37" s="51" t="str">
        <f>D$11</f>
        <v>3 h.</v>
      </c>
      <c r="E37" s="51" t="str">
        <f>C$12</f>
        <v>Non</v>
      </c>
      <c r="F37" s="52">
        <f t="shared" si="0"/>
        <v>687.5</v>
      </c>
      <c r="G37" s="57">
        <v>687.5</v>
      </c>
      <c r="H37" s="57"/>
      <c r="I37" s="57"/>
      <c r="J37" s="57"/>
      <c r="K37" s="57"/>
      <c r="L37" s="14"/>
      <c r="M37" s="21"/>
      <c r="N37" s="21"/>
      <c r="O37" s="21"/>
      <c r="P37" s="21"/>
      <c r="Q37" s="21"/>
      <c r="R37" s="21"/>
      <c r="S37" s="22"/>
      <c r="T37" s="20"/>
    </row>
    <row r="38" spans="1:20" ht="13.8">
      <c r="A38" s="50">
        <v>24</v>
      </c>
      <c r="B38" s="51" t="str">
        <f t="shared" si="6"/>
        <v>20°C</v>
      </c>
      <c r="C38" s="51" t="str">
        <f t="shared" si="9"/>
        <v>50%</v>
      </c>
      <c r="D38" s="51" t="str">
        <f>D$11</f>
        <v>3 h.</v>
      </c>
      <c r="E38" s="51" t="str">
        <f>D$12</f>
        <v>Oui</v>
      </c>
      <c r="F38" s="52">
        <f t="shared" si="0"/>
        <v>720</v>
      </c>
      <c r="G38" s="57">
        <v>720</v>
      </c>
      <c r="H38" s="57"/>
      <c r="I38" s="57"/>
      <c r="J38" s="57"/>
      <c r="K38" s="57"/>
      <c r="L38" s="14"/>
      <c r="M38" s="21"/>
      <c r="N38" s="21"/>
      <c r="O38" s="21"/>
      <c r="P38" s="21"/>
      <c r="Q38" s="21"/>
      <c r="R38" s="21"/>
      <c r="S38" s="22"/>
      <c r="T38" s="20"/>
    </row>
    <row r="39" spans="1:20" ht="13.8">
      <c r="A39" s="50">
        <v>25</v>
      </c>
      <c r="B39" s="51" t="str">
        <f>E$9</f>
        <v>30°C</v>
      </c>
      <c r="C39" s="51" t="str">
        <f>C$10</f>
        <v>10%</v>
      </c>
      <c r="D39" s="51" t="str">
        <f>C$11</f>
        <v>1 h.</v>
      </c>
      <c r="E39" s="51" t="str">
        <f>C$12</f>
        <v>Non</v>
      </c>
      <c r="F39" s="52">
        <f t="shared" si="0"/>
        <v>752.5</v>
      </c>
      <c r="G39" s="57">
        <v>752.5</v>
      </c>
      <c r="H39" s="57"/>
      <c r="I39" s="57"/>
      <c r="J39" s="57"/>
      <c r="K39" s="57"/>
      <c r="L39" s="14"/>
      <c r="O39" s="15"/>
      <c r="P39" s="15"/>
      <c r="Q39" s="15"/>
      <c r="R39" s="15"/>
      <c r="S39" s="20"/>
      <c r="T39" s="20"/>
    </row>
    <row r="40" spans="1:20" ht="13.8">
      <c r="A40" s="50">
        <v>26</v>
      </c>
      <c r="B40" s="51" t="str">
        <f t="shared" ref="B40:B50" si="10">E$9</f>
        <v>30°C</v>
      </c>
      <c r="C40" s="51" t="str">
        <f t="shared" ref="C40:C42" si="11">C$10</f>
        <v>10%</v>
      </c>
      <c r="D40" s="51" t="str">
        <f>C$11</f>
        <v>1 h.</v>
      </c>
      <c r="E40" s="51" t="str">
        <f>D$12</f>
        <v>Oui</v>
      </c>
      <c r="F40" s="52">
        <f t="shared" si="0"/>
        <v>785</v>
      </c>
      <c r="G40" s="57">
        <v>785</v>
      </c>
      <c r="H40" s="57"/>
      <c r="I40" s="57"/>
      <c r="J40" s="57"/>
      <c r="K40" s="57"/>
      <c r="L40" s="14"/>
      <c r="O40" s="15"/>
      <c r="P40" s="15"/>
      <c r="Q40" s="15"/>
      <c r="R40" s="15"/>
      <c r="S40" s="20"/>
      <c r="T40" s="20"/>
    </row>
    <row r="41" spans="1:20" ht="13.8">
      <c r="A41" s="50">
        <v>27</v>
      </c>
      <c r="B41" s="51" t="str">
        <f t="shared" si="10"/>
        <v>30°C</v>
      </c>
      <c r="C41" s="51" t="str">
        <f t="shared" si="11"/>
        <v>10%</v>
      </c>
      <c r="D41" s="51" t="str">
        <f>D$11</f>
        <v>3 h.</v>
      </c>
      <c r="E41" s="51" t="str">
        <f>C$12</f>
        <v>Non</v>
      </c>
      <c r="F41" s="52">
        <f t="shared" si="0"/>
        <v>817.5</v>
      </c>
      <c r="G41" s="57">
        <v>817.5</v>
      </c>
      <c r="H41" s="57"/>
      <c r="I41" s="57"/>
      <c r="J41" s="57"/>
      <c r="K41" s="57"/>
      <c r="L41" s="14"/>
      <c r="O41" s="15"/>
      <c r="P41" s="15"/>
      <c r="Q41" s="15"/>
      <c r="R41" s="15"/>
      <c r="S41" s="20"/>
      <c r="T41" s="20"/>
    </row>
    <row r="42" spans="1:20" ht="13.8">
      <c r="A42" s="50">
        <v>28</v>
      </c>
      <c r="B42" s="51" t="str">
        <f t="shared" si="10"/>
        <v>30°C</v>
      </c>
      <c r="C42" s="51" t="str">
        <f t="shared" si="11"/>
        <v>10%</v>
      </c>
      <c r="D42" s="51" t="str">
        <f>D$11</f>
        <v>3 h.</v>
      </c>
      <c r="E42" s="51" t="str">
        <f>D$12</f>
        <v>Oui</v>
      </c>
      <c r="F42" s="52">
        <f t="shared" si="0"/>
        <v>850</v>
      </c>
      <c r="G42" s="57">
        <v>850</v>
      </c>
      <c r="H42" s="57"/>
      <c r="I42" s="57"/>
      <c r="J42" s="57"/>
      <c r="K42" s="57"/>
      <c r="L42" s="14"/>
      <c r="O42" s="15"/>
      <c r="P42" s="15"/>
      <c r="Q42" s="15"/>
      <c r="R42" s="15"/>
      <c r="S42" s="20"/>
      <c r="T42" s="20"/>
    </row>
    <row r="43" spans="1:20" ht="13.8">
      <c r="A43" s="50">
        <v>29</v>
      </c>
      <c r="B43" s="51" t="str">
        <f t="shared" si="10"/>
        <v>30°C</v>
      </c>
      <c r="C43" s="51" t="str">
        <f>D$10</f>
        <v>30%</v>
      </c>
      <c r="D43" s="51" t="str">
        <f>C$11</f>
        <v>1 h.</v>
      </c>
      <c r="E43" s="51" t="str">
        <f>C$12</f>
        <v>Non</v>
      </c>
      <c r="F43" s="52">
        <f t="shared" si="0"/>
        <v>882.5</v>
      </c>
      <c r="G43" s="57">
        <v>882.5</v>
      </c>
      <c r="H43" s="57"/>
      <c r="I43" s="57"/>
      <c r="J43" s="57"/>
      <c r="K43" s="57"/>
      <c r="L43" s="14"/>
      <c r="O43" s="15"/>
      <c r="P43" s="15"/>
      <c r="Q43" s="15"/>
      <c r="R43" s="15"/>
      <c r="S43" s="20"/>
      <c r="T43" s="20"/>
    </row>
    <row r="44" spans="1:20" ht="13.8">
      <c r="A44" s="50">
        <v>30</v>
      </c>
      <c r="B44" s="51" t="str">
        <f t="shared" si="10"/>
        <v>30°C</v>
      </c>
      <c r="C44" s="51" t="str">
        <f t="shared" ref="C44:C46" si="12">D$10</f>
        <v>30%</v>
      </c>
      <c r="D44" s="51" t="str">
        <f>C$11</f>
        <v>1 h.</v>
      </c>
      <c r="E44" s="51" t="str">
        <f>D$12</f>
        <v>Oui</v>
      </c>
      <c r="F44" s="52">
        <f t="shared" si="0"/>
        <v>915</v>
      </c>
      <c r="G44" s="57">
        <v>915</v>
      </c>
      <c r="H44" s="57"/>
      <c r="I44" s="57"/>
      <c r="J44" s="57"/>
      <c r="K44" s="57"/>
      <c r="L44" s="14"/>
      <c r="O44" s="15"/>
      <c r="P44" s="15"/>
      <c r="Q44" s="15"/>
      <c r="R44" s="15"/>
      <c r="S44" s="20"/>
      <c r="T44" s="20"/>
    </row>
    <row r="45" spans="1:20" ht="13.8">
      <c r="A45" s="50">
        <v>31</v>
      </c>
      <c r="B45" s="51" t="str">
        <f t="shared" si="10"/>
        <v>30°C</v>
      </c>
      <c r="C45" s="51" t="str">
        <f t="shared" si="12"/>
        <v>30%</v>
      </c>
      <c r="D45" s="51" t="str">
        <f>D$11</f>
        <v>3 h.</v>
      </c>
      <c r="E45" s="51" t="str">
        <f>C$12</f>
        <v>Non</v>
      </c>
      <c r="F45" s="52">
        <f t="shared" si="0"/>
        <v>947.5</v>
      </c>
      <c r="G45" s="57">
        <v>947.5</v>
      </c>
      <c r="H45" s="57"/>
      <c r="I45" s="57"/>
      <c r="J45" s="57"/>
      <c r="K45" s="57"/>
      <c r="L45" s="14"/>
      <c r="N45" s="21"/>
      <c r="O45" s="21"/>
      <c r="P45" s="21"/>
      <c r="Q45" s="21"/>
      <c r="R45" s="21"/>
      <c r="S45" s="22"/>
      <c r="T45" s="22"/>
    </row>
    <row r="46" spans="1:20" ht="13.8">
      <c r="A46" s="50">
        <v>32</v>
      </c>
      <c r="B46" s="51" t="str">
        <f t="shared" si="10"/>
        <v>30°C</v>
      </c>
      <c r="C46" s="51" t="str">
        <f t="shared" si="12"/>
        <v>30%</v>
      </c>
      <c r="D46" s="51" t="str">
        <f>D$11</f>
        <v>3 h.</v>
      </c>
      <c r="E46" s="51" t="str">
        <f>D$12</f>
        <v>Oui</v>
      </c>
      <c r="F46" s="52">
        <f t="shared" si="0"/>
        <v>980</v>
      </c>
      <c r="G46" s="57">
        <v>980</v>
      </c>
      <c r="H46" s="57"/>
      <c r="I46" s="57"/>
      <c r="J46" s="57"/>
      <c r="K46" s="57"/>
      <c r="L46" s="14"/>
      <c r="N46" s="21"/>
      <c r="O46" s="21"/>
      <c r="P46" s="15" t="str">
        <f>B10</f>
        <v>Moût</v>
      </c>
      <c r="Q46" s="15" t="str">
        <f>B10</f>
        <v>Moût</v>
      </c>
      <c r="R46" s="15" t="str">
        <f>B10</f>
        <v>Moût</v>
      </c>
      <c r="S46" s="22"/>
      <c r="T46" s="22"/>
    </row>
    <row r="47" spans="1:20" ht="13.8">
      <c r="A47" s="50">
        <v>33</v>
      </c>
      <c r="B47" s="51" t="str">
        <f t="shared" si="10"/>
        <v>30°C</v>
      </c>
      <c r="C47" s="51" t="str">
        <f>E$10</f>
        <v>50%</v>
      </c>
      <c r="D47" s="51" t="str">
        <f>C$11</f>
        <v>1 h.</v>
      </c>
      <c r="E47" s="51" t="str">
        <f>C$12</f>
        <v>Non</v>
      </c>
      <c r="F47" s="52">
        <f t="shared" si="0"/>
        <v>1012.5</v>
      </c>
      <c r="G47" s="57">
        <v>1012.5</v>
      </c>
      <c r="H47" s="57"/>
      <c r="I47" s="57"/>
      <c r="J47" s="57"/>
      <c r="K47" s="57"/>
      <c r="L47" s="14"/>
      <c r="N47" s="21"/>
      <c r="O47" s="21"/>
      <c r="P47" s="15" t="str">
        <f>C10</f>
        <v>10%</v>
      </c>
      <c r="Q47" s="15" t="str">
        <f>D10</f>
        <v>30%</v>
      </c>
      <c r="R47" s="15" t="str">
        <f>E10</f>
        <v>50%</v>
      </c>
      <c r="S47" s="22"/>
      <c r="T47" s="22"/>
    </row>
    <row r="48" spans="1:20" ht="13.8">
      <c r="A48" s="50">
        <v>34</v>
      </c>
      <c r="B48" s="51" t="str">
        <f t="shared" si="10"/>
        <v>30°C</v>
      </c>
      <c r="C48" s="51" t="str">
        <f t="shared" ref="C48:C50" si="13">E$10</f>
        <v>50%</v>
      </c>
      <c r="D48" s="51" t="str">
        <f>C$11</f>
        <v>1 h.</v>
      </c>
      <c r="E48" s="51" t="str">
        <f>D$12</f>
        <v>Oui</v>
      </c>
      <c r="F48" s="52">
        <f t="shared" si="0"/>
        <v>1045</v>
      </c>
      <c r="G48" s="57">
        <v>1045</v>
      </c>
      <c r="H48" s="57"/>
      <c r="I48" s="57"/>
      <c r="J48" s="57"/>
      <c r="K48" s="57"/>
      <c r="L48" s="14"/>
      <c r="N48" s="15" t="str">
        <f>C11</f>
        <v>1 h.</v>
      </c>
      <c r="O48" s="15" t="str">
        <f>B11</f>
        <v>Durée</v>
      </c>
      <c r="P48" s="21">
        <f>AVERAGE(PB1C1)</f>
        <v>617.9375</v>
      </c>
      <c r="Q48" s="21">
        <f>AVERAGE(PB2C1)</f>
        <v>587.4375</v>
      </c>
      <c r="R48" s="21">
        <f>AVERAGE(PB3C1)</f>
        <v>833.75</v>
      </c>
      <c r="S48" s="22"/>
      <c r="T48" s="22"/>
    </row>
    <row r="49" spans="1:23" ht="13.8">
      <c r="A49" s="50">
        <v>35</v>
      </c>
      <c r="B49" s="51" t="str">
        <f t="shared" si="10"/>
        <v>30°C</v>
      </c>
      <c r="C49" s="51" t="str">
        <f t="shared" si="13"/>
        <v>50%</v>
      </c>
      <c r="D49" s="51" t="str">
        <f>D$11</f>
        <v>3 h.</v>
      </c>
      <c r="E49" s="51" t="str">
        <f>C$12</f>
        <v>Non</v>
      </c>
      <c r="F49" s="52">
        <f t="shared" si="0"/>
        <v>1077.5</v>
      </c>
      <c r="G49" s="57">
        <v>1077.5</v>
      </c>
      <c r="H49" s="57"/>
      <c r="I49" s="57"/>
      <c r="J49" s="57"/>
      <c r="K49" s="57"/>
      <c r="L49" s="14"/>
      <c r="N49" s="15" t="str">
        <f>D11</f>
        <v>3 h.</v>
      </c>
      <c r="O49" s="15" t="str">
        <f>B11</f>
        <v>Durée</v>
      </c>
      <c r="P49" s="21">
        <f>AVERAGE(PB1C2)</f>
        <v>666.5625</v>
      </c>
      <c r="Q49" s="21">
        <f>AVERAGE(PB2C2)</f>
        <v>768.75</v>
      </c>
      <c r="R49" s="21">
        <f>AVERAGE(PB3C2)</f>
        <v>898.75</v>
      </c>
      <c r="S49" s="22"/>
      <c r="T49" s="22"/>
    </row>
    <row r="50" spans="1:23" ht="13.8">
      <c r="A50" s="50">
        <v>36</v>
      </c>
      <c r="B50" s="51" t="str">
        <f t="shared" si="10"/>
        <v>30°C</v>
      </c>
      <c r="C50" s="51" t="str">
        <f t="shared" si="13"/>
        <v>50%</v>
      </c>
      <c r="D50" s="51" t="str">
        <f>D$11</f>
        <v>3 h.</v>
      </c>
      <c r="E50" s="51" t="str">
        <f>D$12</f>
        <v>Oui</v>
      </c>
      <c r="F50" s="52">
        <f t="shared" si="0"/>
        <v>1110</v>
      </c>
      <c r="G50" s="57">
        <v>1110</v>
      </c>
      <c r="H50" s="57"/>
      <c r="I50" s="57"/>
      <c r="J50" s="57"/>
      <c r="K50" s="57"/>
      <c r="L50" s="14"/>
      <c r="N50" s="21" t="s">
        <v>50</v>
      </c>
      <c r="O50" s="21"/>
      <c r="P50" s="21"/>
      <c r="Q50" s="21"/>
      <c r="R50" s="21"/>
      <c r="S50" s="22"/>
      <c r="T50" s="22"/>
    </row>
    <row r="51" spans="1:23" ht="13.8">
      <c r="A51" s="50">
        <v>37</v>
      </c>
      <c r="B51" s="51" t="str">
        <f>F$9</f>
        <v>40°C</v>
      </c>
      <c r="C51" s="51" t="str">
        <f>C$10</f>
        <v>10%</v>
      </c>
      <c r="D51" s="51" t="str">
        <f>C$11</f>
        <v>1 h.</v>
      </c>
      <c r="E51" s="51" t="str">
        <f>C$12</f>
        <v>Non</v>
      </c>
      <c r="F51" s="52">
        <f t="shared" si="0"/>
        <v>1142.5</v>
      </c>
      <c r="G51" s="57">
        <v>1142.5</v>
      </c>
      <c r="H51" s="57"/>
      <c r="I51" s="57"/>
      <c r="J51" s="57"/>
      <c r="K51" s="57"/>
      <c r="L51" s="14"/>
      <c r="N51" s="15" t="str">
        <f>C12</f>
        <v>Non</v>
      </c>
      <c r="O51" s="15" t="str">
        <f>B12</f>
        <v>Oxyg.</v>
      </c>
      <c r="P51" s="21">
        <f>AVERAGE(PB1D1)</f>
        <v>625.125</v>
      </c>
      <c r="Q51" s="21">
        <f>AVERAGE(PB2D1)</f>
        <v>603.6875</v>
      </c>
      <c r="R51" s="21">
        <f>AVERAGE(PB3D1)</f>
        <v>850</v>
      </c>
      <c r="S51" s="22"/>
      <c r="T51" s="22"/>
    </row>
    <row r="52" spans="1:23" ht="13.8">
      <c r="A52" s="50">
        <v>38</v>
      </c>
      <c r="B52" s="51" t="str">
        <f t="shared" ref="B52:B62" si="14">F$9</f>
        <v>40°C</v>
      </c>
      <c r="C52" s="51" t="str">
        <f t="shared" ref="C52:C54" si="15">C$10</f>
        <v>10%</v>
      </c>
      <c r="D52" s="51" t="str">
        <f>C$11</f>
        <v>1 h.</v>
      </c>
      <c r="E52" s="51" t="str">
        <f>D$12</f>
        <v>Oui</v>
      </c>
      <c r="F52" s="52">
        <f t="shared" si="0"/>
        <v>1175</v>
      </c>
      <c r="G52" s="57">
        <v>1175</v>
      </c>
      <c r="H52" s="57"/>
      <c r="I52" s="57"/>
      <c r="J52" s="57"/>
      <c r="K52" s="57"/>
      <c r="L52" s="14"/>
      <c r="N52" s="15" t="str">
        <f>D12</f>
        <v>Oui</v>
      </c>
      <c r="O52" s="15" t="str">
        <f>B12</f>
        <v>Oxyg.</v>
      </c>
      <c r="P52" s="21">
        <f>AVERAGE(PB1D2)</f>
        <v>659.375</v>
      </c>
      <c r="Q52" s="21">
        <f>AVERAGE(PB2D2)</f>
        <v>752.5</v>
      </c>
      <c r="R52" s="21">
        <f>AVERAGE(PB3D2)</f>
        <v>882.5</v>
      </c>
      <c r="S52" s="22"/>
      <c r="T52" s="22"/>
    </row>
    <row r="53" spans="1:23" ht="13.8">
      <c r="A53" s="50">
        <v>39</v>
      </c>
      <c r="B53" s="51" t="str">
        <f t="shared" si="14"/>
        <v>40°C</v>
      </c>
      <c r="C53" s="51" t="str">
        <f t="shared" si="15"/>
        <v>10%</v>
      </c>
      <c r="D53" s="51" t="str">
        <f>D$11</f>
        <v>3 h.</v>
      </c>
      <c r="E53" s="51" t="str">
        <f>C$12</f>
        <v>Non</v>
      </c>
      <c r="F53" s="52">
        <f t="shared" si="0"/>
        <v>1207.5</v>
      </c>
      <c r="G53" s="57">
        <v>1207.5</v>
      </c>
      <c r="H53" s="57"/>
      <c r="I53" s="57"/>
      <c r="J53" s="57"/>
      <c r="K53" s="57"/>
      <c r="L53" s="14"/>
      <c r="N53" s="21"/>
      <c r="O53" s="21"/>
      <c r="P53" s="21"/>
      <c r="Q53" s="21"/>
      <c r="R53" s="21"/>
      <c r="S53" s="22"/>
      <c r="T53" s="22"/>
    </row>
    <row r="54" spans="1:23" ht="13.8">
      <c r="A54" s="50">
        <v>40</v>
      </c>
      <c r="B54" s="51" t="str">
        <f t="shared" si="14"/>
        <v>40°C</v>
      </c>
      <c r="C54" s="51" t="str">
        <f t="shared" si="15"/>
        <v>10%</v>
      </c>
      <c r="D54" s="51" t="str">
        <f>D$11</f>
        <v>3 h.</v>
      </c>
      <c r="E54" s="51" t="str">
        <f>D$12</f>
        <v>Oui</v>
      </c>
      <c r="F54" s="52">
        <f t="shared" si="0"/>
        <v>1240</v>
      </c>
      <c r="G54" s="57">
        <v>1240</v>
      </c>
      <c r="H54" s="57"/>
      <c r="I54" s="57"/>
      <c r="J54" s="57"/>
      <c r="K54" s="57"/>
      <c r="L54" s="14"/>
      <c r="N54" s="21"/>
      <c r="O54" s="21"/>
      <c r="P54" s="21"/>
      <c r="Q54" s="21"/>
      <c r="R54" s="21"/>
      <c r="S54" s="22"/>
      <c r="T54" s="22"/>
    </row>
    <row r="55" spans="1:23" ht="13.8">
      <c r="A55" s="50">
        <v>41</v>
      </c>
      <c r="B55" s="51" t="str">
        <f t="shared" si="14"/>
        <v>40°C</v>
      </c>
      <c r="C55" s="51" t="str">
        <f>D$10</f>
        <v>30%</v>
      </c>
      <c r="D55" s="51" t="str">
        <f>C$11</f>
        <v>1 h.</v>
      </c>
      <c r="E55" s="51" t="str">
        <f>C$12</f>
        <v>Non</v>
      </c>
      <c r="F55" s="52">
        <f t="shared" si="0"/>
        <v>342</v>
      </c>
      <c r="G55" s="57">
        <v>342</v>
      </c>
      <c r="H55" s="57"/>
      <c r="I55" s="57"/>
      <c r="J55" s="57"/>
      <c r="K55" s="57"/>
      <c r="L55" s="14"/>
      <c r="N55" s="21"/>
      <c r="O55" s="21"/>
      <c r="P55" s="21"/>
      <c r="Q55" s="21"/>
      <c r="R55" s="21"/>
      <c r="S55" s="22"/>
      <c r="T55" s="22"/>
    </row>
    <row r="56" spans="1:23" ht="13.8">
      <c r="A56" s="50">
        <v>42</v>
      </c>
      <c r="B56" s="51" t="str">
        <f t="shared" si="14"/>
        <v>40°C</v>
      </c>
      <c r="C56" s="51" t="str">
        <f t="shared" ref="C56:C58" si="16">D$10</f>
        <v>30%</v>
      </c>
      <c r="D56" s="51" t="str">
        <f>C$11</f>
        <v>1 h.</v>
      </c>
      <c r="E56" s="51" t="str">
        <f>D$12</f>
        <v>Oui</v>
      </c>
      <c r="F56" s="52">
        <f t="shared" si="0"/>
        <v>1305</v>
      </c>
      <c r="G56" s="57">
        <v>1305</v>
      </c>
      <c r="H56" s="57"/>
      <c r="I56" s="57"/>
      <c r="J56" s="57"/>
      <c r="K56" s="57"/>
      <c r="L56" s="14"/>
      <c r="N56" s="21"/>
      <c r="O56" s="21"/>
      <c r="P56" s="21"/>
      <c r="Q56" s="21"/>
      <c r="R56" s="21"/>
      <c r="S56" s="22"/>
      <c r="T56" s="22"/>
    </row>
    <row r="57" spans="1:23" ht="13.8">
      <c r="A57" s="50">
        <v>43</v>
      </c>
      <c r="B57" s="51" t="str">
        <f t="shared" si="14"/>
        <v>40°C</v>
      </c>
      <c r="C57" s="51" t="str">
        <f t="shared" si="16"/>
        <v>30%</v>
      </c>
      <c r="D57" s="51" t="str">
        <f>D$11</f>
        <v>3 h.</v>
      </c>
      <c r="E57" s="51" t="str">
        <f>C$12</f>
        <v>Non</v>
      </c>
      <c r="F57" s="52">
        <f t="shared" si="0"/>
        <v>1337.5</v>
      </c>
      <c r="G57" s="57">
        <v>1337.5</v>
      </c>
      <c r="H57" s="57"/>
      <c r="I57" s="57"/>
      <c r="J57" s="57"/>
      <c r="K57" s="57"/>
      <c r="L57" s="14"/>
      <c r="O57" s="15"/>
      <c r="P57" s="15"/>
      <c r="Q57" s="15"/>
      <c r="R57" s="15"/>
      <c r="S57" s="20"/>
      <c r="T57" s="20"/>
    </row>
    <row r="58" spans="1:23" ht="13.8">
      <c r="A58" s="50">
        <v>44</v>
      </c>
      <c r="B58" s="51" t="str">
        <f t="shared" si="14"/>
        <v>40°C</v>
      </c>
      <c r="C58" s="51" t="str">
        <f t="shared" si="16"/>
        <v>30%</v>
      </c>
      <c r="D58" s="51" t="str">
        <f>D$11</f>
        <v>3 h.</v>
      </c>
      <c r="E58" s="51" t="str">
        <f>D$12</f>
        <v>Oui</v>
      </c>
      <c r="F58" s="52">
        <f t="shared" si="0"/>
        <v>1370</v>
      </c>
      <c r="G58" s="57">
        <v>1370</v>
      </c>
      <c r="H58" s="57"/>
      <c r="I58" s="57"/>
      <c r="J58" s="57"/>
      <c r="K58" s="57"/>
      <c r="L58" s="14"/>
      <c r="O58" s="15"/>
      <c r="P58" s="15"/>
      <c r="Q58" s="15"/>
      <c r="R58" s="15"/>
      <c r="S58" s="20"/>
      <c r="T58" s="20"/>
    </row>
    <row r="59" spans="1:23" ht="13.8">
      <c r="A59" s="50">
        <v>45</v>
      </c>
      <c r="B59" s="51" t="str">
        <f t="shared" si="14"/>
        <v>40°C</v>
      </c>
      <c r="C59" s="51" t="str">
        <f>E$10</f>
        <v>50%</v>
      </c>
      <c r="D59" s="51" t="str">
        <f>C$11</f>
        <v>1 h.</v>
      </c>
      <c r="E59" s="51" t="str">
        <f>C$12</f>
        <v>Non</v>
      </c>
      <c r="F59" s="52">
        <f t="shared" si="0"/>
        <v>1402.5</v>
      </c>
      <c r="G59" s="57">
        <v>1402.5</v>
      </c>
      <c r="H59" s="57"/>
      <c r="I59" s="57"/>
      <c r="J59" s="57"/>
      <c r="K59" s="57"/>
      <c r="L59" s="14"/>
      <c r="O59" s="15"/>
      <c r="P59" s="15"/>
      <c r="Q59" s="15"/>
      <c r="R59" s="15"/>
      <c r="S59" s="20"/>
      <c r="T59" s="20"/>
    </row>
    <row r="60" spans="1:23" ht="13.8">
      <c r="A60" s="50">
        <v>46</v>
      </c>
      <c r="B60" s="51" t="str">
        <f t="shared" si="14"/>
        <v>40°C</v>
      </c>
      <c r="C60" s="51" t="str">
        <f t="shared" ref="C60:C62" si="17">E$10</f>
        <v>50%</v>
      </c>
      <c r="D60" s="51" t="str">
        <f>C$11</f>
        <v>1 h.</v>
      </c>
      <c r="E60" s="51" t="str">
        <f>D$12</f>
        <v>Oui</v>
      </c>
      <c r="F60" s="52">
        <f t="shared" si="0"/>
        <v>1435</v>
      </c>
      <c r="G60" s="57">
        <v>1435</v>
      </c>
      <c r="H60" s="57"/>
      <c r="I60" s="57"/>
      <c r="J60" s="57"/>
      <c r="K60" s="57"/>
      <c r="L60" s="14"/>
      <c r="O60" s="15"/>
      <c r="P60" s="15"/>
      <c r="Q60" s="15"/>
      <c r="R60" s="15"/>
      <c r="S60" s="20"/>
      <c r="T60" s="20"/>
    </row>
    <row r="61" spans="1:23" ht="13.8">
      <c r="A61" s="50">
        <v>47</v>
      </c>
      <c r="B61" s="51" t="str">
        <f t="shared" si="14"/>
        <v>40°C</v>
      </c>
      <c r="C61" s="51" t="str">
        <f t="shared" si="17"/>
        <v>50%</v>
      </c>
      <c r="D61" s="51" t="str">
        <f>D$11</f>
        <v>3 h.</v>
      </c>
      <c r="E61" s="51" t="str">
        <f>C$12</f>
        <v>Non</v>
      </c>
      <c r="F61" s="52">
        <f t="shared" si="0"/>
        <v>1467.5</v>
      </c>
      <c r="G61" s="57">
        <v>1467.5</v>
      </c>
      <c r="H61" s="57"/>
      <c r="I61" s="57"/>
      <c r="J61" s="57"/>
      <c r="K61" s="57"/>
      <c r="L61" s="14"/>
      <c r="O61" s="15"/>
      <c r="P61" s="15"/>
      <c r="Q61" s="15"/>
      <c r="R61" s="15"/>
      <c r="S61" s="20"/>
      <c r="T61" s="20"/>
    </row>
    <row r="62" spans="1:23" ht="13.8">
      <c r="A62" s="50">
        <v>48</v>
      </c>
      <c r="B62" s="51" t="str">
        <f t="shared" si="14"/>
        <v>40°C</v>
      </c>
      <c r="C62" s="51" t="str">
        <f t="shared" si="17"/>
        <v>50%</v>
      </c>
      <c r="D62" s="51" t="str">
        <f>D$11</f>
        <v>3 h.</v>
      </c>
      <c r="E62" s="51" t="str">
        <f>D$12</f>
        <v>Oui</v>
      </c>
      <c r="F62" s="52">
        <f t="shared" si="0"/>
        <v>1500</v>
      </c>
      <c r="G62" s="57">
        <v>1500</v>
      </c>
      <c r="H62" s="57"/>
      <c r="I62" s="57"/>
      <c r="J62" s="57"/>
      <c r="K62" s="57"/>
      <c r="L62" s="14"/>
      <c r="M62" s="21"/>
      <c r="N62" s="21"/>
      <c r="O62" s="21"/>
      <c r="P62" s="21"/>
      <c r="Q62" s="21"/>
      <c r="R62" s="21"/>
      <c r="S62" s="20"/>
      <c r="W62" s="23"/>
    </row>
    <row r="63" spans="1:23" ht="13.8">
      <c r="B63" s="9"/>
      <c r="C63" s="9"/>
      <c r="D63" s="9"/>
      <c r="E63" s="9"/>
      <c r="F63" s="9"/>
      <c r="G63" s="24"/>
      <c r="H63" s="24"/>
      <c r="I63" s="24"/>
      <c r="J63" s="24"/>
      <c r="K63" s="25"/>
      <c r="L63" s="25"/>
      <c r="O63" s="26"/>
      <c r="P63" s="26"/>
      <c r="Q63" s="26"/>
      <c r="R63" s="26"/>
    </row>
    <row r="64" spans="1:23" ht="13.8">
      <c r="A64" s="58" t="s">
        <v>17</v>
      </c>
      <c r="B64" s="59" t="s">
        <v>18</v>
      </c>
      <c r="C64" s="59" t="s">
        <v>19</v>
      </c>
      <c r="D64" s="59" t="s">
        <v>20</v>
      </c>
      <c r="E64" s="59" t="s">
        <v>26</v>
      </c>
      <c r="F64" s="59" t="s">
        <v>40</v>
      </c>
      <c r="G64" s="27"/>
      <c r="H64" s="161" t="s">
        <v>159</v>
      </c>
      <c r="I64" s="162"/>
      <c r="J64" s="163"/>
      <c r="K64" s="27"/>
      <c r="L64" s="27"/>
      <c r="M64" s="15"/>
      <c r="N64" s="21"/>
      <c r="O64" s="21"/>
    </row>
    <row r="65" spans="1:24" ht="13.8">
      <c r="A65" s="58" t="s">
        <v>21</v>
      </c>
      <c r="B65" s="60">
        <f>AVERAGE(F15:F62)</f>
        <v>728.86458333333337</v>
      </c>
      <c r="C65" s="60">
        <f>AVERAGE(_PA1)-B65</f>
        <v>-529.61458333333337</v>
      </c>
      <c r="D65" s="60">
        <f>AVERAGE(_PB1)-B65</f>
        <v>-86.614583333333371</v>
      </c>
      <c r="E65" s="60">
        <f>AVERAGE(_PC1)-B65</f>
        <v>-49.15625</v>
      </c>
      <c r="F65" s="60">
        <f>AVERAGE(_PD1)-B65</f>
        <v>-35.927083333333371</v>
      </c>
      <c r="G65" s="28"/>
      <c r="H65" s="164" t="s">
        <v>160</v>
      </c>
      <c r="I65" s="165"/>
      <c r="J65" s="166"/>
      <c r="K65" s="28"/>
      <c r="L65" s="28"/>
      <c r="M65" s="15"/>
      <c r="N65" s="21"/>
      <c r="O65" s="21"/>
      <c r="T65" s="20"/>
    </row>
    <row r="66" spans="1:24" ht="13.8">
      <c r="A66" s="58" t="s">
        <v>22</v>
      </c>
      <c r="B66" s="60">
        <f>AVERAGE(F15:F62)</f>
        <v>728.86458333333337</v>
      </c>
      <c r="C66" s="60">
        <f>AVERAGE(_PA2)-B66</f>
        <v>-187.61458333333337</v>
      </c>
      <c r="D66" s="60">
        <f>AVERAGE(_PB2)-B66</f>
        <v>-50.770833333333371</v>
      </c>
      <c r="E66" s="60">
        <f>AVERAGE(_PC2)-B66</f>
        <v>49.15625</v>
      </c>
      <c r="F66" s="60">
        <f>AVERAGE(_PD2)-B66</f>
        <v>35.927083333333258</v>
      </c>
      <c r="G66" s="28"/>
      <c r="H66" s="28"/>
      <c r="I66" s="28"/>
      <c r="J66" s="28"/>
      <c r="K66" s="28"/>
      <c r="L66" s="28"/>
      <c r="M66" s="15"/>
      <c r="N66" s="21"/>
      <c r="O66" s="21"/>
      <c r="P66" s="15" t="str">
        <f>B11</f>
        <v>Durée</v>
      </c>
      <c r="Q66" s="15" t="str">
        <f>B11</f>
        <v>Durée</v>
      </c>
      <c r="R66" s="15"/>
      <c r="S66" s="20"/>
    </row>
    <row r="67" spans="1:24" s="21" customFormat="1" ht="13.8">
      <c r="A67" s="61" t="s">
        <v>23</v>
      </c>
      <c r="B67" s="60">
        <f>AVERAGE(F15:F62)</f>
        <v>728.86458333333337</v>
      </c>
      <c r="C67" s="60">
        <f>AVERAGE(_PA3)-B67</f>
        <v>202.38541666666663</v>
      </c>
      <c r="D67" s="60">
        <f>AVERAGE(_PB3)-B67</f>
        <v>137.38541666666663</v>
      </c>
      <c r="E67" s="62"/>
      <c r="F67" s="62"/>
      <c r="G67" s="29"/>
      <c r="H67" s="29"/>
      <c r="I67" s="29"/>
      <c r="J67" s="29"/>
      <c r="K67" s="29"/>
      <c r="L67" s="29"/>
      <c r="M67" s="15"/>
      <c r="P67" s="15" t="str">
        <f>C11</f>
        <v>1 h.</v>
      </c>
      <c r="Q67" s="15" t="str">
        <f>D11</f>
        <v>3 h.</v>
      </c>
      <c r="S67" s="22"/>
    </row>
    <row r="68" spans="1:24" s="21" customFormat="1" ht="14.25" customHeight="1">
      <c r="A68" s="58" t="s">
        <v>42</v>
      </c>
      <c r="B68" s="60">
        <f>AVERAGE(F15:F62)</f>
        <v>728.86458333333337</v>
      </c>
      <c r="C68" s="60">
        <f>AVERAGE(_PA4)-B68</f>
        <v>514.84374999999989</v>
      </c>
      <c r="D68" s="60"/>
      <c r="E68" s="60"/>
      <c r="F68" s="60"/>
      <c r="M68" s="15"/>
      <c r="N68" s="15" t="str">
        <f>C12</f>
        <v>Non</v>
      </c>
      <c r="O68" s="15" t="str">
        <f>B12</f>
        <v>Oxyg.</v>
      </c>
      <c r="P68" s="21">
        <f>AVERAGE(PC1D1)</f>
        <v>624</v>
      </c>
      <c r="Q68" s="21">
        <f>AVERAGE(PC2D1)</f>
        <v>761.875</v>
      </c>
    </row>
    <row r="69" spans="1:24" s="21" customFormat="1" ht="14.25" customHeight="1">
      <c r="A69" s="30"/>
      <c r="B69" s="28"/>
      <c r="C69" s="28"/>
      <c r="D69" s="28"/>
      <c r="E69" s="28"/>
      <c r="F69" s="28"/>
      <c r="M69" s="15"/>
      <c r="N69" s="15" t="str">
        <f>D12</f>
        <v>Oui</v>
      </c>
      <c r="O69" s="15" t="str">
        <f>B12</f>
        <v>Oxyg.</v>
      </c>
      <c r="P69" s="21">
        <f>AVERAGE(PC1D2)</f>
        <v>735.41666666666663</v>
      </c>
      <c r="Q69" s="21">
        <f>AVERAGE(PC2D2)</f>
        <v>794.16666666666663</v>
      </c>
    </row>
    <row r="70" spans="1:24" s="21" customFormat="1" ht="13.5" customHeight="1">
      <c r="A70" s="63"/>
      <c r="B70" s="63"/>
      <c r="C70" s="64"/>
      <c r="D70" s="63"/>
      <c r="E70" s="63"/>
      <c r="F70" s="63"/>
      <c r="G70" s="63"/>
      <c r="H70" s="63"/>
      <c r="I70" s="63"/>
    </row>
    <row r="71" spans="1:24" ht="13.8">
      <c r="A71" s="76" t="s">
        <v>135</v>
      </c>
      <c r="B71" s="65"/>
      <c r="C71" s="66"/>
      <c r="D71" s="66"/>
      <c r="E71" s="65"/>
      <c r="F71" s="66"/>
      <c r="G71" s="64"/>
      <c r="H71" s="67"/>
      <c r="I71" s="67"/>
      <c r="J71" s="9"/>
      <c r="K71" s="9"/>
      <c r="L71" s="9"/>
      <c r="M71" s="15"/>
      <c r="N71" s="15"/>
      <c r="O71" s="15"/>
      <c r="P71" s="15"/>
      <c r="Q71" s="15"/>
      <c r="R71" s="15"/>
      <c r="W71" s="15"/>
      <c r="X71" s="15"/>
    </row>
    <row r="72" spans="1:24" ht="13.8">
      <c r="A72" s="65"/>
      <c r="B72" s="109" t="s">
        <v>195</v>
      </c>
      <c r="C72" s="109" t="s">
        <v>154</v>
      </c>
      <c r="D72" s="109" t="s">
        <v>155</v>
      </c>
      <c r="E72" s="109" t="s">
        <v>156</v>
      </c>
      <c r="F72" s="109" t="s">
        <v>179</v>
      </c>
      <c r="G72" s="109" t="s">
        <v>157</v>
      </c>
      <c r="H72" s="109" t="s">
        <v>158</v>
      </c>
      <c r="I72" s="67"/>
      <c r="J72" s="9"/>
      <c r="K72" s="9"/>
      <c r="L72" s="9"/>
      <c r="M72" s="15"/>
      <c r="N72" s="15"/>
      <c r="O72" s="15"/>
      <c r="P72" s="15"/>
      <c r="Q72" s="15"/>
      <c r="R72" s="15"/>
      <c r="W72" s="15"/>
      <c r="X72" s="15"/>
    </row>
    <row r="73" spans="1:24" ht="13.8">
      <c r="A73" s="65"/>
      <c r="B73" s="89" t="s">
        <v>12</v>
      </c>
      <c r="C73" s="89" t="s">
        <v>136</v>
      </c>
      <c r="D73" s="79" t="s">
        <v>140</v>
      </c>
      <c r="E73" s="81" t="s">
        <v>143</v>
      </c>
      <c r="F73" s="78" t="s">
        <v>146</v>
      </c>
      <c r="G73" s="81">
        <f>IF(G15="","",G15)</f>
        <v>141</v>
      </c>
      <c r="H73" s="172" t="str">
        <f t="shared" ref="H73:H136" si="18">IF(G73="","",CONCATENATE(C73,"_",D73,"_",E73,"_",F73))</f>
        <v>A1_B1_C1_D1</v>
      </c>
      <c r="I73" s="67"/>
      <c r="J73" s="9"/>
      <c r="K73" s="9"/>
      <c r="L73" s="9"/>
      <c r="M73" s="15"/>
      <c r="N73" s="15"/>
      <c r="O73" s="15"/>
      <c r="P73" s="15"/>
      <c r="Q73" s="15"/>
      <c r="R73" s="15"/>
      <c r="W73" s="15"/>
      <c r="X73" s="15"/>
    </row>
    <row r="74" spans="1:24" ht="13.8">
      <c r="A74" s="65"/>
      <c r="B74" s="90" t="s">
        <v>12</v>
      </c>
      <c r="C74" s="90" t="s">
        <v>136</v>
      </c>
      <c r="D74" s="66" t="s">
        <v>140</v>
      </c>
      <c r="E74" s="82" t="s">
        <v>143</v>
      </c>
      <c r="F74" s="65" t="s">
        <v>145</v>
      </c>
      <c r="G74" s="82">
        <f>IF(G16="","",G16)</f>
        <v>190</v>
      </c>
      <c r="H74" s="87" t="str">
        <f t="shared" si="18"/>
        <v>A1_B1_C1_D2</v>
      </c>
      <c r="I74" s="67"/>
      <c r="J74" s="9"/>
      <c r="K74" s="9"/>
      <c r="L74" s="9"/>
      <c r="M74" s="15"/>
      <c r="N74" s="15"/>
      <c r="O74" s="15"/>
      <c r="P74" s="15"/>
      <c r="Q74" s="15"/>
      <c r="R74" s="15"/>
      <c r="W74" s="15"/>
      <c r="X74" s="15"/>
    </row>
    <row r="75" spans="1:24" ht="13.8">
      <c r="A75" s="65"/>
      <c r="B75" s="90" t="s">
        <v>12</v>
      </c>
      <c r="C75" s="90" t="s">
        <v>136</v>
      </c>
      <c r="D75" s="66" t="s">
        <v>140</v>
      </c>
      <c r="E75" s="82" t="s">
        <v>144</v>
      </c>
      <c r="F75" s="65" t="s">
        <v>146</v>
      </c>
      <c r="G75" s="82">
        <f>IF(G17="","",G17)</f>
        <v>150</v>
      </c>
      <c r="H75" s="87" t="str">
        <f t="shared" si="18"/>
        <v>A1_B1_C2_D1</v>
      </c>
      <c r="I75" s="67"/>
      <c r="J75" s="9"/>
      <c r="K75" s="9"/>
      <c r="L75" s="9"/>
      <c r="M75" s="15"/>
      <c r="N75" s="15"/>
      <c r="T75" s="15"/>
      <c r="U75" s="15"/>
      <c r="V75" s="15"/>
    </row>
    <row r="76" spans="1:24" ht="13.8">
      <c r="A76" s="65"/>
      <c r="B76" s="90" t="s">
        <v>12</v>
      </c>
      <c r="C76" s="90" t="s">
        <v>136</v>
      </c>
      <c r="D76" s="66" t="s">
        <v>140</v>
      </c>
      <c r="E76" s="82" t="s">
        <v>144</v>
      </c>
      <c r="F76" s="65" t="s">
        <v>145</v>
      </c>
      <c r="G76" s="82">
        <f>IF(G18="","",G18)</f>
        <v>180</v>
      </c>
      <c r="H76" s="87" t="str">
        <f t="shared" si="18"/>
        <v>A1_B1_C2_D2</v>
      </c>
      <c r="I76" s="67"/>
      <c r="J76" s="9"/>
      <c r="K76" s="9"/>
      <c r="L76" s="9"/>
      <c r="M76" s="15"/>
      <c r="N76" s="15"/>
      <c r="T76" s="32"/>
      <c r="U76" s="15"/>
      <c r="V76" s="15"/>
    </row>
    <row r="77" spans="1:24" ht="13.8">
      <c r="A77" s="65"/>
      <c r="B77" s="90" t="s">
        <v>12</v>
      </c>
      <c r="C77" s="90" t="s">
        <v>136</v>
      </c>
      <c r="D77" s="66" t="s">
        <v>141</v>
      </c>
      <c r="E77" s="82" t="s">
        <v>143</v>
      </c>
      <c r="F77" s="65" t="s">
        <v>146</v>
      </c>
      <c r="G77" s="82">
        <f>IF(G19="","",G19)</f>
        <v>102.5</v>
      </c>
      <c r="H77" s="87" t="str">
        <f t="shared" si="18"/>
        <v>A1_B2_C1_D1</v>
      </c>
      <c r="I77" s="67"/>
      <c r="J77" s="9"/>
      <c r="K77" s="9"/>
      <c r="L77" s="9"/>
      <c r="M77" s="15"/>
      <c r="N77" s="15"/>
      <c r="T77" s="32"/>
      <c r="U77" s="15"/>
      <c r="V77" s="15"/>
    </row>
    <row r="78" spans="1:24" ht="13.8">
      <c r="A78" s="65"/>
      <c r="B78" s="90" t="s">
        <v>12</v>
      </c>
      <c r="C78" s="90" t="s">
        <v>136</v>
      </c>
      <c r="D78" s="66" t="s">
        <v>141</v>
      </c>
      <c r="E78" s="82" t="s">
        <v>143</v>
      </c>
      <c r="F78" s="65" t="s">
        <v>145</v>
      </c>
      <c r="G78" s="82">
        <f>IF(G20="","",G20)</f>
        <v>135</v>
      </c>
      <c r="H78" s="87" t="str">
        <f t="shared" si="18"/>
        <v>A1_B2_C1_D2</v>
      </c>
      <c r="I78" s="67"/>
      <c r="J78" s="9"/>
      <c r="K78" s="9"/>
      <c r="L78" s="9"/>
      <c r="M78" s="15"/>
      <c r="N78" s="15"/>
      <c r="T78" s="32"/>
      <c r="U78" s="15"/>
      <c r="V78" s="15"/>
    </row>
    <row r="79" spans="1:24" ht="13.8">
      <c r="A79" s="65"/>
      <c r="B79" s="90" t="s">
        <v>12</v>
      </c>
      <c r="C79" s="90" t="s">
        <v>136</v>
      </c>
      <c r="D79" s="66" t="s">
        <v>141</v>
      </c>
      <c r="E79" s="82" t="s">
        <v>144</v>
      </c>
      <c r="F79" s="65" t="s">
        <v>146</v>
      </c>
      <c r="G79" s="82">
        <f>IF(G21="","",G21)</f>
        <v>167.5</v>
      </c>
      <c r="H79" s="87" t="str">
        <f t="shared" si="18"/>
        <v>A1_B2_C2_D1</v>
      </c>
      <c r="I79" s="67"/>
      <c r="J79" s="9"/>
      <c r="K79" s="9"/>
      <c r="L79" s="9"/>
      <c r="M79" s="15"/>
      <c r="N79" s="15"/>
      <c r="T79" s="32"/>
      <c r="U79" s="15"/>
      <c r="V79" s="15"/>
    </row>
    <row r="80" spans="1:24" ht="13.8">
      <c r="A80" s="65"/>
      <c r="B80" s="90" t="s">
        <v>12</v>
      </c>
      <c r="C80" s="90" t="s">
        <v>136</v>
      </c>
      <c r="D80" s="66" t="s">
        <v>141</v>
      </c>
      <c r="E80" s="82" t="s">
        <v>144</v>
      </c>
      <c r="F80" s="65" t="s">
        <v>145</v>
      </c>
      <c r="G80" s="82">
        <f>IF(G22="","",G22)</f>
        <v>200</v>
      </c>
      <c r="H80" s="87" t="str">
        <f t="shared" si="18"/>
        <v>A1_B2_C2_D2</v>
      </c>
      <c r="I80" s="67"/>
      <c r="J80" s="9"/>
      <c r="K80" s="9"/>
      <c r="L80" s="9"/>
      <c r="M80" s="15"/>
      <c r="N80" s="15"/>
      <c r="T80" s="32"/>
      <c r="U80" s="15"/>
      <c r="V80" s="15"/>
    </row>
    <row r="81" spans="1:22" ht="13.8">
      <c r="A81" s="65"/>
      <c r="B81" s="90" t="s">
        <v>12</v>
      </c>
      <c r="C81" s="90" t="s">
        <v>136</v>
      </c>
      <c r="D81" s="66" t="s">
        <v>142</v>
      </c>
      <c r="E81" s="82" t="s">
        <v>143</v>
      </c>
      <c r="F81" s="65" t="s">
        <v>146</v>
      </c>
      <c r="G81" s="82">
        <f>IF(G23="","",G23)</f>
        <v>232.5</v>
      </c>
      <c r="H81" s="87" t="str">
        <f t="shared" si="18"/>
        <v>A1_B3_C1_D1</v>
      </c>
      <c r="I81" s="67"/>
      <c r="J81" s="9"/>
      <c r="K81" s="9"/>
      <c r="L81" s="9"/>
      <c r="M81" s="15"/>
      <c r="N81" s="15"/>
      <c r="T81" s="32"/>
      <c r="U81" s="15"/>
      <c r="V81" s="15"/>
    </row>
    <row r="82" spans="1:22" ht="13.8">
      <c r="A82" s="65"/>
      <c r="B82" s="90" t="s">
        <v>12</v>
      </c>
      <c r="C82" s="90" t="s">
        <v>136</v>
      </c>
      <c r="D82" s="66" t="s">
        <v>142</v>
      </c>
      <c r="E82" s="82" t="s">
        <v>143</v>
      </c>
      <c r="F82" s="65" t="s">
        <v>145</v>
      </c>
      <c r="G82" s="82">
        <f>IF(G24="","",G24)</f>
        <v>265</v>
      </c>
      <c r="H82" s="87" t="str">
        <f t="shared" si="18"/>
        <v>A1_B3_C1_D2</v>
      </c>
      <c r="I82" s="67"/>
      <c r="J82" s="9"/>
      <c r="K82" s="9"/>
      <c r="L82" s="9"/>
      <c r="M82" s="15"/>
      <c r="N82" s="15"/>
      <c r="T82" s="32"/>
      <c r="U82" s="15"/>
      <c r="V82" s="15"/>
    </row>
    <row r="83" spans="1:22" ht="13.8">
      <c r="A83" s="67"/>
      <c r="B83" s="90" t="s">
        <v>12</v>
      </c>
      <c r="C83" s="90" t="s">
        <v>136</v>
      </c>
      <c r="D83" s="66" t="s">
        <v>142</v>
      </c>
      <c r="E83" s="82" t="s">
        <v>144</v>
      </c>
      <c r="F83" s="65" t="s">
        <v>146</v>
      </c>
      <c r="G83" s="82">
        <f>IF(G25="","",G25)</f>
        <v>297.5</v>
      </c>
      <c r="H83" s="87" t="str">
        <f t="shared" si="18"/>
        <v>A1_B3_C2_D1</v>
      </c>
      <c r="I83" s="67"/>
      <c r="J83" s="9"/>
      <c r="K83" s="9"/>
      <c r="L83" s="9"/>
      <c r="O83" s="15"/>
      <c r="P83" s="15"/>
      <c r="Q83" s="15"/>
      <c r="R83" s="15"/>
      <c r="S83" s="20"/>
    </row>
    <row r="84" spans="1:22" ht="13.8">
      <c r="A84" s="65"/>
      <c r="B84" s="90" t="s">
        <v>12</v>
      </c>
      <c r="C84" s="90" t="s">
        <v>136</v>
      </c>
      <c r="D84" s="66" t="s">
        <v>142</v>
      </c>
      <c r="E84" s="82" t="s">
        <v>144</v>
      </c>
      <c r="F84" s="65" t="s">
        <v>145</v>
      </c>
      <c r="G84" s="82">
        <f>IF(G26="","",G26)</f>
        <v>330</v>
      </c>
      <c r="H84" s="87" t="str">
        <f t="shared" si="18"/>
        <v>A1_B3_C2_D2</v>
      </c>
      <c r="I84" s="67"/>
      <c r="J84" s="9"/>
      <c r="K84" s="9"/>
      <c r="L84" s="9"/>
      <c r="Q84" s="21"/>
      <c r="R84" s="21"/>
      <c r="T84" s="15"/>
      <c r="U84" s="15"/>
      <c r="V84" s="15"/>
    </row>
    <row r="85" spans="1:22" ht="13.8">
      <c r="A85" s="65"/>
      <c r="B85" s="90" t="s">
        <v>12</v>
      </c>
      <c r="C85" s="90" t="s">
        <v>137</v>
      </c>
      <c r="D85" s="66" t="s">
        <v>140</v>
      </c>
      <c r="E85" s="82" t="s">
        <v>143</v>
      </c>
      <c r="F85" s="65" t="s">
        <v>146</v>
      </c>
      <c r="G85" s="82">
        <f>IF(G27="","",G27)</f>
        <v>362.5</v>
      </c>
      <c r="H85" s="87" t="str">
        <f t="shared" si="18"/>
        <v>A2_B1_C1_D1</v>
      </c>
      <c r="I85" s="67"/>
      <c r="J85" s="9"/>
      <c r="K85" s="9"/>
      <c r="L85" s="9"/>
      <c r="Q85" s="21"/>
      <c r="R85" s="21"/>
      <c r="T85" s="15"/>
      <c r="U85" s="15"/>
      <c r="V85" s="15"/>
    </row>
    <row r="86" spans="1:22" ht="13.8">
      <c r="A86" s="65"/>
      <c r="B86" s="90" t="s">
        <v>12</v>
      </c>
      <c r="C86" s="90" t="s">
        <v>137</v>
      </c>
      <c r="D86" s="66" t="s">
        <v>140</v>
      </c>
      <c r="E86" s="82" t="s">
        <v>143</v>
      </c>
      <c r="F86" s="65" t="s">
        <v>145</v>
      </c>
      <c r="G86" s="82">
        <f>IF(G28="","",G28)</f>
        <v>395</v>
      </c>
      <c r="H86" s="87" t="str">
        <f t="shared" si="18"/>
        <v>A2_B1_C1_D2</v>
      </c>
      <c r="I86" s="67"/>
      <c r="J86" s="9"/>
      <c r="K86" s="9"/>
      <c r="L86" s="9"/>
      <c r="Q86" s="21"/>
      <c r="R86" s="21"/>
      <c r="T86" s="15"/>
      <c r="U86" s="15"/>
      <c r="V86" s="15"/>
    </row>
    <row r="87" spans="1:22" ht="13.8">
      <c r="A87" s="65"/>
      <c r="B87" s="90" t="s">
        <v>12</v>
      </c>
      <c r="C87" s="90" t="s">
        <v>137</v>
      </c>
      <c r="D87" s="66" t="s">
        <v>140</v>
      </c>
      <c r="E87" s="82" t="s">
        <v>144</v>
      </c>
      <c r="F87" s="65" t="s">
        <v>146</v>
      </c>
      <c r="G87" s="82">
        <f>IF(G29="","",G29)</f>
        <v>427.5</v>
      </c>
      <c r="H87" s="87" t="str">
        <f t="shared" si="18"/>
        <v>A2_B1_C2_D1</v>
      </c>
      <c r="I87" s="67"/>
      <c r="J87" s="9"/>
      <c r="K87" s="9"/>
      <c r="L87" s="9"/>
      <c r="Q87" s="21"/>
      <c r="R87" s="21"/>
      <c r="T87" s="15"/>
      <c r="U87" s="15"/>
      <c r="V87" s="15"/>
    </row>
    <row r="88" spans="1:22" ht="13.8">
      <c r="A88" s="65"/>
      <c r="B88" s="90" t="s">
        <v>12</v>
      </c>
      <c r="C88" s="90" t="s">
        <v>137</v>
      </c>
      <c r="D88" s="66" t="s">
        <v>140</v>
      </c>
      <c r="E88" s="82" t="s">
        <v>144</v>
      </c>
      <c r="F88" s="65" t="s">
        <v>145</v>
      </c>
      <c r="G88" s="82">
        <f>IF(G30="","",G30)</f>
        <v>460</v>
      </c>
      <c r="H88" s="87" t="str">
        <f t="shared" si="18"/>
        <v>A2_B1_C2_D2</v>
      </c>
      <c r="I88" s="67"/>
      <c r="J88" s="9"/>
      <c r="K88" s="9"/>
      <c r="L88" s="9"/>
      <c r="Q88" s="21"/>
      <c r="R88" s="21"/>
      <c r="T88" s="15"/>
      <c r="U88" s="15"/>
      <c r="V88" s="15"/>
    </row>
    <row r="89" spans="1:22" ht="13.8">
      <c r="A89" s="65"/>
      <c r="B89" s="90" t="s">
        <v>12</v>
      </c>
      <c r="C89" s="90" t="s">
        <v>137</v>
      </c>
      <c r="D89" s="66" t="s">
        <v>141</v>
      </c>
      <c r="E89" s="82" t="s">
        <v>143</v>
      </c>
      <c r="F89" s="65" t="s">
        <v>146</v>
      </c>
      <c r="G89" s="82">
        <f>IF(G31="","",G31)</f>
        <v>492.5</v>
      </c>
      <c r="H89" s="87" t="str">
        <f t="shared" si="18"/>
        <v>A2_B2_C1_D1</v>
      </c>
      <c r="I89" s="67"/>
      <c r="J89" s="9"/>
      <c r="K89" s="9"/>
      <c r="L89" s="9"/>
      <c r="Q89" s="21"/>
      <c r="R89" s="21"/>
    </row>
    <row r="90" spans="1:22" ht="13.8">
      <c r="A90" s="65"/>
      <c r="B90" s="90" t="s">
        <v>12</v>
      </c>
      <c r="C90" s="90" t="s">
        <v>137</v>
      </c>
      <c r="D90" s="66" t="s">
        <v>141</v>
      </c>
      <c r="E90" s="82" t="s">
        <v>143</v>
      </c>
      <c r="F90" s="65" t="s">
        <v>145</v>
      </c>
      <c r="G90" s="82">
        <f>IF(G32="","",G32)</f>
        <v>525</v>
      </c>
      <c r="H90" s="87" t="str">
        <f t="shared" si="18"/>
        <v>A2_B2_C1_D2</v>
      </c>
      <c r="I90" s="67"/>
      <c r="J90" s="9"/>
      <c r="K90" s="9"/>
      <c r="L90" s="9"/>
      <c r="M90" s="21"/>
      <c r="N90" s="21"/>
      <c r="O90" s="21"/>
      <c r="P90" s="21"/>
      <c r="Q90" s="21"/>
      <c r="R90" s="21"/>
    </row>
    <row r="91" spans="1:22" ht="13.8">
      <c r="A91" s="65"/>
      <c r="B91" s="90" t="s">
        <v>12</v>
      </c>
      <c r="C91" s="90" t="s">
        <v>137</v>
      </c>
      <c r="D91" s="66" t="s">
        <v>141</v>
      </c>
      <c r="E91" s="82" t="s">
        <v>144</v>
      </c>
      <c r="F91" s="65" t="s">
        <v>146</v>
      </c>
      <c r="G91" s="82">
        <f>IF(G33="","",G33)</f>
        <v>557.5</v>
      </c>
      <c r="H91" s="87" t="str">
        <f t="shared" si="18"/>
        <v>A2_B2_C2_D1</v>
      </c>
      <c r="I91" s="67"/>
      <c r="J91" s="9"/>
      <c r="K91" s="9"/>
      <c r="L91" s="9"/>
      <c r="M91" s="21"/>
      <c r="N91" s="21"/>
      <c r="O91" s="21"/>
      <c r="P91" s="21"/>
      <c r="Q91" s="21"/>
      <c r="R91" s="21"/>
    </row>
    <row r="92" spans="1:22" ht="13.8">
      <c r="A92" s="65"/>
      <c r="B92" s="90" t="s">
        <v>12</v>
      </c>
      <c r="C92" s="90" t="s">
        <v>137</v>
      </c>
      <c r="D92" s="66" t="s">
        <v>141</v>
      </c>
      <c r="E92" s="82" t="s">
        <v>144</v>
      </c>
      <c r="F92" s="67" t="s">
        <v>145</v>
      </c>
      <c r="G92" s="82">
        <f>IF(G34="","",G34)</f>
        <v>590</v>
      </c>
      <c r="H92" s="87" t="str">
        <f t="shared" si="18"/>
        <v>A2_B2_C2_D2</v>
      </c>
      <c r="I92" s="67"/>
      <c r="J92" s="9"/>
      <c r="K92" s="9"/>
      <c r="L92" s="9"/>
      <c r="M92" s="15"/>
    </row>
    <row r="93" spans="1:22" ht="13.8">
      <c r="A93" s="65"/>
      <c r="B93" s="90" t="s">
        <v>12</v>
      </c>
      <c r="C93" s="90" t="s">
        <v>137</v>
      </c>
      <c r="D93" s="66" t="s">
        <v>142</v>
      </c>
      <c r="E93" s="82" t="s">
        <v>143</v>
      </c>
      <c r="F93" s="67" t="s">
        <v>146</v>
      </c>
      <c r="G93" s="82">
        <f>IF(G35="","",G35)</f>
        <v>622.5</v>
      </c>
      <c r="H93" s="87" t="str">
        <f t="shared" si="18"/>
        <v>A2_B3_C1_D1</v>
      </c>
      <c r="I93" s="67"/>
      <c r="J93" s="9"/>
      <c r="K93" s="9"/>
      <c r="L93" s="9"/>
      <c r="M93" s="15"/>
      <c r="T93" s="20"/>
    </row>
    <row r="94" spans="1:22" ht="13.8">
      <c r="A94" s="65"/>
      <c r="B94" s="90" t="s">
        <v>12</v>
      </c>
      <c r="C94" s="90" t="s">
        <v>137</v>
      </c>
      <c r="D94" s="66" t="s">
        <v>142</v>
      </c>
      <c r="E94" s="82" t="s">
        <v>143</v>
      </c>
      <c r="F94" s="67" t="s">
        <v>145</v>
      </c>
      <c r="G94" s="82">
        <f>IF(G36="","",G36)</f>
        <v>655</v>
      </c>
      <c r="H94" s="87" t="str">
        <f t="shared" si="18"/>
        <v>A2_B3_C1_D2</v>
      </c>
      <c r="I94" s="67"/>
      <c r="J94" s="9"/>
      <c r="K94" s="9"/>
      <c r="L94" s="9"/>
      <c r="M94" s="15"/>
      <c r="T94" s="20"/>
    </row>
    <row r="95" spans="1:22" ht="13.8">
      <c r="A95" s="65"/>
      <c r="B95" s="90" t="s">
        <v>12</v>
      </c>
      <c r="C95" s="90" t="s">
        <v>137</v>
      </c>
      <c r="D95" s="66" t="s">
        <v>142</v>
      </c>
      <c r="E95" s="82" t="s">
        <v>144</v>
      </c>
      <c r="F95" s="67" t="s">
        <v>146</v>
      </c>
      <c r="G95" s="82">
        <f>IF(G37="","",G37)</f>
        <v>687.5</v>
      </c>
      <c r="H95" s="87" t="str">
        <f t="shared" si="18"/>
        <v>A2_B3_C2_D1</v>
      </c>
      <c r="I95" s="67"/>
      <c r="J95" s="9"/>
      <c r="K95" s="9"/>
      <c r="L95" s="9"/>
      <c r="M95" s="15"/>
      <c r="T95" s="20"/>
    </row>
    <row r="96" spans="1:22" ht="13.8">
      <c r="A96" s="65"/>
      <c r="B96" s="90" t="s">
        <v>12</v>
      </c>
      <c r="C96" s="90" t="s">
        <v>137</v>
      </c>
      <c r="D96" s="66" t="s">
        <v>142</v>
      </c>
      <c r="E96" s="82" t="s">
        <v>144</v>
      </c>
      <c r="F96" s="67" t="s">
        <v>145</v>
      </c>
      <c r="G96" s="82">
        <f>IF(G38="","",G38)</f>
        <v>720</v>
      </c>
      <c r="H96" s="87" t="str">
        <f t="shared" si="18"/>
        <v>A2_B3_C2_D2</v>
      </c>
      <c r="I96" s="67"/>
      <c r="J96" s="9"/>
      <c r="K96" s="9"/>
      <c r="L96" s="9"/>
      <c r="M96" s="15"/>
      <c r="N96" s="15"/>
      <c r="O96" s="15"/>
      <c r="P96" s="15"/>
      <c r="Q96" s="15"/>
      <c r="R96" s="15"/>
      <c r="S96" s="20"/>
    </row>
    <row r="97" spans="1:18" ht="13.8">
      <c r="A97" s="65"/>
      <c r="B97" s="90" t="s">
        <v>12</v>
      </c>
      <c r="C97" s="90" t="s">
        <v>138</v>
      </c>
      <c r="D97" s="66" t="s">
        <v>140</v>
      </c>
      <c r="E97" s="82" t="s">
        <v>143</v>
      </c>
      <c r="F97" s="67" t="s">
        <v>146</v>
      </c>
      <c r="G97" s="82">
        <f>IF(G39="","",G39)</f>
        <v>752.5</v>
      </c>
      <c r="H97" s="87" t="str">
        <f t="shared" si="18"/>
        <v>A3_B1_C1_D1</v>
      </c>
      <c r="I97" s="67"/>
      <c r="J97" s="9"/>
      <c r="K97" s="9"/>
      <c r="L97" s="9"/>
      <c r="M97" s="15"/>
      <c r="N97" s="15"/>
      <c r="O97" s="15"/>
      <c r="P97" s="15"/>
      <c r="Q97" s="15"/>
      <c r="R97" s="15"/>
    </row>
    <row r="98" spans="1:18" ht="13.8">
      <c r="A98" s="65"/>
      <c r="B98" s="90" t="s">
        <v>12</v>
      </c>
      <c r="C98" s="90" t="s">
        <v>138</v>
      </c>
      <c r="D98" s="66" t="s">
        <v>140</v>
      </c>
      <c r="E98" s="82" t="s">
        <v>143</v>
      </c>
      <c r="F98" s="67" t="s">
        <v>145</v>
      </c>
      <c r="G98" s="82">
        <f>IF(G40="","",G40)</f>
        <v>785</v>
      </c>
      <c r="H98" s="87" t="str">
        <f t="shared" si="18"/>
        <v>A3_B1_C1_D2</v>
      </c>
      <c r="I98" s="67"/>
      <c r="J98" s="9"/>
      <c r="K98" s="9"/>
      <c r="L98" s="9"/>
      <c r="M98" s="15"/>
      <c r="N98" s="15"/>
      <c r="O98" s="15"/>
      <c r="P98" s="15"/>
      <c r="Q98" s="15"/>
      <c r="R98" s="15"/>
    </row>
    <row r="99" spans="1:18" ht="13.8">
      <c r="A99" s="65"/>
      <c r="B99" s="90" t="s">
        <v>12</v>
      </c>
      <c r="C99" s="90" t="s">
        <v>138</v>
      </c>
      <c r="D99" s="66" t="s">
        <v>140</v>
      </c>
      <c r="E99" s="82" t="s">
        <v>144</v>
      </c>
      <c r="F99" s="67" t="s">
        <v>146</v>
      </c>
      <c r="G99" s="82">
        <f>IF(G41="","",G41)</f>
        <v>817.5</v>
      </c>
      <c r="H99" s="87" t="str">
        <f t="shared" si="18"/>
        <v>A3_B1_C2_D1</v>
      </c>
      <c r="I99" s="67"/>
      <c r="J99" s="9"/>
      <c r="K99" s="9"/>
      <c r="L99" s="9"/>
      <c r="M99" s="15"/>
      <c r="N99" s="15"/>
    </row>
    <row r="100" spans="1:18" ht="13.8">
      <c r="A100" s="65"/>
      <c r="B100" s="90" t="s">
        <v>12</v>
      </c>
      <c r="C100" s="90" t="s">
        <v>138</v>
      </c>
      <c r="D100" s="66" t="s">
        <v>140</v>
      </c>
      <c r="E100" s="84" t="s">
        <v>144</v>
      </c>
      <c r="F100" s="68" t="s">
        <v>145</v>
      </c>
      <c r="G100" s="82">
        <f>IF(G42="","",G42)</f>
        <v>850</v>
      </c>
      <c r="H100" s="87" t="str">
        <f t="shared" si="18"/>
        <v>A3_B1_C2_D2</v>
      </c>
      <c r="I100" s="67"/>
      <c r="J100" s="9"/>
      <c r="K100" s="9"/>
      <c r="L100" s="9"/>
    </row>
    <row r="101" spans="1:18" ht="13.8">
      <c r="A101" s="65"/>
      <c r="B101" s="90" t="s">
        <v>12</v>
      </c>
      <c r="C101" s="90" t="s">
        <v>138</v>
      </c>
      <c r="D101" s="69" t="s">
        <v>141</v>
      </c>
      <c r="E101" s="84" t="s">
        <v>143</v>
      </c>
      <c r="F101" s="67" t="s">
        <v>146</v>
      </c>
      <c r="G101" s="82">
        <f>IF(G43="","",G43)</f>
        <v>882.5</v>
      </c>
      <c r="H101" s="87" t="str">
        <f t="shared" si="18"/>
        <v>A3_B2_C1_D1</v>
      </c>
      <c r="I101" s="67"/>
      <c r="J101" s="9"/>
      <c r="K101" s="9"/>
      <c r="L101" s="9"/>
    </row>
    <row r="102" spans="1:18" ht="13.8">
      <c r="A102" s="70"/>
      <c r="B102" s="91" t="s">
        <v>12</v>
      </c>
      <c r="C102" s="91" t="s">
        <v>138</v>
      </c>
      <c r="D102" s="70" t="s">
        <v>141</v>
      </c>
      <c r="E102" s="85" t="s">
        <v>143</v>
      </c>
      <c r="F102" s="70" t="s">
        <v>145</v>
      </c>
      <c r="G102" s="82">
        <f>IF(G44="","",G44)</f>
        <v>915</v>
      </c>
      <c r="H102" s="87" t="str">
        <f t="shared" si="18"/>
        <v>A3_B2_C1_D2</v>
      </c>
      <c r="I102" s="67"/>
      <c r="J102" s="9"/>
      <c r="K102" s="9"/>
      <c r="L102" s="9"/>
    </row>
    <row r="103" spans="1:18" s="33" customFormat="1" ht="13.8">
      <c r="A103" s="72"/>
      <c r="B103" s="86" t="s">
        <v>12</v>
      </c>
      <c r="C103" s="86" t="s">
        <v>138</v>
      </c>
      <c r="D103" s="74" t="s">
        <v>141</v>
      </c>
      <c r="E103" s="86" t="s">
        <v>144</v>
      </c>
      <c r="F103" s="73" t="s">
        <v>146</v>
      </c>
      <c r="G103" s="82">
        <f>IF(G45="","",G45)</f>
        <v>947.5</v>
      </c>
      <c r="H103" s="87" t="str">
        <f t="shared" si="18"/>
        <v>A3_B2_C2_D1</v>
      </c>
      <c r="I103" s="69"/>
    </row>
    <row r="104" spans="1:18" s="33" customFormat="1" ht="13.8">
      <c r="A104" s="72"/>
      <c r="B104" s="86" t="s">
        <v>12</v>
      </c>
      <c r="C104" s="86" t="s">
        <v>138</v>
      </c>
      <c r="D104" s="74" t="s">
        <v>141</v>
      </c>
      <c r="E104" s="86" t="s">
        <v>144</v>
      </c>
      <c r="F104" s="73" t="s">
        <v>145</v>
      </c>
      <c r="G104" s="82">
        <f>IF(G46="","",G46)</f>
        <v>980</v>
      </c>
      <c r="H104" s="87" t="str">
        <f t="shared" si="18"/>
        <v>A3_B2_C2_D2</v>
      </c>
      <c r="I104" s="69"/>
    </row>
    <row r="105" spans="1:18" s="33" customFormat="1" ht="13.8">
      <c r="A105" s="72"/>
      <c r="B105" s="86" t="s">
        <v>12</v>
      </c>
      <c r="C105" s="86" t="s">
        <v>138</v>
      </c>
      <c r="D105" s="74" t="s">
        <v>142</v>
      </c>
      <c r="E105" s="86" t="s">
        <v>143</v>
      </c>
      <c r="F105" s="73" t="s">
        <v>146</v>
      </c>
      <c r="G105" s="82">
        <f>IF(G47="","",G47)</f>
        <v>1012.5</v>
      </c>
      <c r="H105" s="87" t="str">
        <f t="shared" si="18"/>
        <v>A3_B3_C1_D1</v>
      </c>
      <c r="I105" s="69"/>
    </row>
    <row r="106" spans="1:18" s="33" customFormat="1" ht="13.8">
      <c r="A106" s="72"/>
      <c r="B106" s="86" t="s">
        <v>12</v>
      </c>
      <c r="C106" s="86" t="s">
        <v>138</v>
      </c>
      <c r="D106" s="74" t="s">
        <v>142</v>
      </c>
      <c r="E106" s="86" t="s">
        <v>143</v>
      </c>
      <c r="F106" s="73" t="s">
        <v>145</v>
      </c>
      <c r="G106" s="82">
        <f>IF(G48="","",G48)</f>
        <v>1045</v>
      </c>
      <c r="H106" s="87" t="str">
        <f t="shared" si="18"/>
        <v>A3_B3_C1_D2</v>
      </c>
      <c r="I106" s="69"/>
    </row>
    <row r="107" spans="1:18" s="34" customFormat="1" ht="13.8">
      <c r="A107" s="65"/>
      <c r="B107" s="86" t="s">
        <v>12</v>
      </c>
      <c r="C107" s="86" t="s">
        <v>138</v>
      </c>
      <c r="D107" s="74" t="s">
        <v>142</v>
      </c>
      <c r="E107" s="86" t="s">
        <v>144</v>
      </c>
      <c r="F107" s="73" t="s">
        <v>146</v>
      </c>
      <c r="G107" s="82">
        <f>IF(G49="","",G49)</f>
        <v>1077.5</v>
      </c>
      <c r="H107" s="87" t="str">
        <f t="shared" si="18"/>
        <v>A3_B3_C2_D1</v>
      </c>
      <c r="I107" s="69"/>
    </row>
    <row r="108" spans="1:18" s="34" customFormat="1" ht="13.8">
      <c r="A108" s="65"/>
      <c r="B108" s="86" t="s">
        <v>12</v>
      </c>
      <c r="C108" s="86" t="s">
        <v>138</v>
      </c>
      <c r="D108" s="74" t="s">
        <v>142</v>
      </c>
      <c r="E108" s="86" t="s">
        <v>144</v>
      </c>
      <c r="F108" s="73" t="s">
        <v>145</v>
      </c>
      <c r="G108" s="82">
        <f>IF(G50="","",G50)</f>
        <v>1110</v>
      </c>
      <c r="H108" s="87" t="str">
        <f t="shared" si="18"/>
        <v>A3_B3_C2_D2</v>
      </c>
      <c r="I108" s="69"/>
    </row>
    <row r="109" spans="1:18" s="34" customFormat="1" ht="13.8">
      <c r="A109" s="65"/>
      <c r="B109" s="86" t="s">
        <v>12</v>
      </c>
      <c r="C109" s="86" t="s">
        <v>139</v>
      </c>
      <c r="D109" s="74" t="s">
        <v>140</v>
      </c>
      <c r="E109" s="86" t="s">
        <v>143</v>
      </c>
      <c r="F109" s="73" t="s">
        <v>146</v>
      </c>
      <c r="G109" s="82">
        <f>IF(G51="","",G51)</f>
        <v>1142.5</v>
      </c>
      <c r="H109" s="87" t="str">
        <f t="shared" si="18"/>
        <v>A4_B1_C1_D1</v>
      </c>
      <c r="I109" s="69"/>
    </row>
    <row r="110" spans="1:18" s="34" customFormat="1" ht="13.8">
      <c r="A110" s="65"/>
      <c r="B110" s="86" t="s">
        <v>12</v>
      </c>
      <c r="C110" s="86" t="s">
        <v>139</v>
      </c>
      <c r="D110" s="74" t="s">
        <v>140</v>
      </c>
      <c r="E110" s="86" t="s">
        <v>143</v>
      </c>
      <c r="F110" s="73" t="s">
        <v>145</v>
      </c>
      <c r="G110" s="82">
        <f>IF(G52="","",G52)</f>
        <v>1175</v>
      </c>
      <c r="H110" s="87" t="str">
        <f t="shared" si="18"/>
        <v>A4_B1_C1_D2</v>
      </c>
      <c r="I110" s="69"/>
    </row>
    <row r="111" spans="1:18" s="34" customFormat="1" ht="13.8">
      <c r="A111" s="65"/>
      <c r="B111" s="86" t="s">
        <v>12</v>
      </c>
      <c r="C111" s="86" t="s">
        <v>139</v>
      </c>
      <c r="D111" s="74" t="s">
        <v>140</v>
      </c>
      <c r="E111" s="86" t="s">
        <v>144</v>
      </c>
      <c r="F111" s="73" t="s">
        <v>146</v>
      </c>
      <c r="G111" s="82">
        <f>IF(G53="","",G53)</f>
        <v>1207.5</v>
      </c>
      <c r="H111" s="87" t="str">
        <f t="shared" si="18"/>
        <v>A4_B1_C2_D1</v>
      </c>
      <c r="I111" s="69"/>
    </row>
    <row r="112" spans="1:18" s="34" customFormat="1" ht="13.8">
      <c r="A112" s="65"/>
      <c r="B112" s="86" t="s">
        <v>12</v>
      </c>
      <c r="C112" s="86" t="s">
        <v>139</v>
      </c>
      <c r="D112" s="74" t="s">
        <v>140</v>
      </c>
      <c r="E112" s="86" t="s">
        <v>144</v>
      </c>
      <c r="F112" s="73" t="s">
        <v>145</v>
      </c>
      <c r="G112" s="82">
        <f>IF(G54="","",G54)</f>
        <v>1240</v>
      </c>
      <c r="H112" s="87" t="str">
        <f t="shared" si="18"/>
        <v>A4_B1_C2_D2</v>
      </c>
      <c r="I112" s="69"/>
    </row>
    <row r="113" spans="1:12" s="33" customFormat="1" ht="13.8">
      <c r="A113" s="65"/>
      <c r="B113" s="86" t="s">
        <v>12</v>
      </c>
      <c r="C113" s="86" t="s">
        <v>139</v>
      </c>
      <c r="D113" s="74" t="s">
        <v>141</v>
      </c>
      <c r="E113" s="86" t="s">
        <v>143</v>
      </c>
      <c r="F113" s="69" t="s">
        <v>146</v>
      </c>
      <c r="G113" s="82">
        <f>IF(G55="","",G55)</f>
        <v>342</v>
      </c>
      <c r="H113" s="87" t="str">
        <f t="shared" si="18"/>
        <v>A4_B2_C1_D1</v>
      </c>
      <c r="I113" s="69"/>
    </row>
    <row r="114" spans="1:12" s="33" customFormat="1" ht="13.8">
      <c r="A114" s="65"/>
      <c r="B114" s="86" t="s">
        <v>12</v>
      </c>
      <c r="C114" s="86" t="s">
        <v>139</v>
      </c>
      <c r="D114" s="74" t="s">
        <v>141</v>
      </c>
      <c r="E114" s="86" t="s">
        <v>143</v>
      </c>
      <c r="F114" s="69" t="s">
        <v>145</v>
      </c>
      <c r="G114" s="82">
        <f>IF(G56="","",G56)</f>
        <v>1305</v>
      </c>
      <c r="H114" s="87" t="str">
        <f t="shared" si="18"/>
        <v>A4_B2_C1_D2</v>
      </c>
      <c r="I114" s="69"/>
    </row>
    <row r="115" spans="1:12" ht="13.8">
      <c r="A115" s="67"/>
      <c r="B115" s="84" t="s">
        <v>12</v>
      </c>
      <c r="C115" s="84" t="s">
        <v>139</v>
      </c>
      <c r="D115" s="67" t="s">
        <v>141</v>
      </c>
      <c r="E115" s="84" t="s">
        <v>144</v>
      </c>
      <c r="F115" s="67" t="s">
        <v>146</v>
      </c>
      <c r="G115" s="82">
        <f>IF(G57="","",G57)</f>
        <v>1337.5</v>
      </c>
      <c r="H115" s="87" t="str">
        <f t="shared" si="18"/>
        <v>A4_B2_C2_D1</v>
      </c>
      <c r="I115" s="67"/>
      <c r="J115" s="9"/>
      <c r="K115" s="9"/>
      <c r="L115" s="9"/>
    </row>
    <row r="116" spans="1:12" ht="13.8">
      <c r="A116" s="9"/>
      <c r="B116" s="87" t="s">
        <v>12</v>
      </c>
      <c r="C116" s="87" t="s">
        <v>139</v>
      </c>
      <c r="D116" s="77" t="s">
        <v>141</v>
      </c>
      <c r="E116" s="87" t="s">
        <v>144</v>
      </c>
      <c r="F116" s="77" t="s">
        <v>145</v>
      </c>
      <c r="G116" s="82">
        <f>IF(G58="","",G58)</f>
        <v>1370</v>
      </c>
      <c r="H116" s="87" t="str">
        <f t="shared" si="18"/>
        <v>A4_B2_C2_D2</v>
      </c>
      <c r="I116" s="9"/>
      <c r="J116" s="9"/>
      <c r="K116" s="9"/>
      <c r="L116" s="9"/>
    </row>
    <row r="117" spans="1:12" ht="13.8">
      <c r="A117" s="9"/>
      <c r="B117" s="87" t="s">
        <v>12</v>
      </c>
      <c r="C117" s="87" t="s">
        <v>139</v>
      </c>
      <c r="D117" s="77" t="s">
        <v>142</v>
      </c>
      <c r="E117" s="87" t="s">
        <v>143</v>
      </c>
      <c r="F117" s="77" t="s">
        <v>146</v>
      </c>
      <c r="G117" s="82">
        <f>IF(G59="","",G59)</f>
        <v>1402.5</v>
      </c>
      <c r="H117" s="87" t="str">
        <f t="shared" si="18"/>
        <v>A4_B3_C1_D1</v>
      </c>
      <c r="I117" s="9"/>
      <c r="J117" s="9"/>
      <c r="K117" s="9"/>
      <c r="L117" s="9"/>
    </row>
    <row r="118" spans="1:12" ht="13.8">
      <c r="A118" s="9"/>
      <c r="B118" s="87" t="s">
        <v>12</v>
      </c>
      <c r="C118" s="87" t="s">
        <v>139</v>
      </c>
      <c r="D118" s="77" t="s">
        <v>142</v>
      </c>
      <c r="E118" s="87" t="s">
        <v>143</v>
      </c>
      <c r="F118" s="77" t="s">
        <v>145</v>
      </c>
      <c r="G118" s="82">
        <f>IF(G60="","",G60)</f>
        <v>1435</v>
      </c>
      <c r="H118" s="87" t="str">
        <f t="shared" si="18"/>
        <v>A4_B3_C1_D2</v>
      </c>
      <c r="I118" s="9"/>
      <c r="J118" s="9"/>
      <c r="K118" s="9"/>
      <c r="L118" s="9"/>
    </row>
    <row r="119" spans="1:12" ht="13.8">
      <c r="A119" s="9"/>
      <c r="B119" s="87" t="s">
        <v>12</v>
      </c>
      <c r="C119" s="87" t="s">
        <v>139</v>
      </c>
      <c r="D119" s="77" t="s">
        <v>142</v>
      </c>
      <c r="E119" s="87" t="s">
        <v>144</v>
      </c>
      <c r="F119" s="77" t="s">
        <v>146</v>
      </c>
      <c r="G119" s="82">
        <f>IF(G61="","",G61)</f>
        <v>1467.5</v>
      </c>
      <c r="H119" s="87" t="str">
        <f t="shared" si="18"/>
        <v>A4_B3_C2_D1</v>
      </c>
      <c r="I119" s="9"/>
      <c r="J119" s="9"/>
      <c r="K119" s="9"/>
      <c r="L119" s="9"/>
    </row>
    <row r="120" spans="1:12" ht="13.8">
      <c r="A120" s="9"/>
      <c r="B120" s="88" t="s">
        <v>12</v>
      </c>
      <c r="C120" s="88" t="s">
        <v>139</v>
      </c>
      <c r="D120" s="80" t="s">
        <v>142</v>
      </c>
      <c r="E120" s="88" t="s">
        <v>144</v>
      </c>
      <c r="F120" s="80" t="s">
        <v>145</v>
      </c>
      <c r="G120" s="83">
        <f>IF(G62="","",G62)</f>
        <v>1500</v>
      </c>
      <c r="H120" s="88" t="str">
        <f t="shared" si="18"/>
        <v>A4_B3_C2_D2</v>
      </c>
      <c r="I120" s="9"/>
      <c r="J120" s="9"/>
      <c r="K120" s="9"/>
      <c r="L120" s="9"/>
    </row>
    <row r="121" spans="1:12" ht="13.8">
      <c r="A121" s="9"/>
      <c r="B121" s="89" t="s">
        <v>13</v>
      </c>
      <c r="C121" s="89" t="s">
        <v>136</v>
      </c>
      <c r="D121" s="79" t="s">
        <v>140</v>
      </c>
      <c r="E121" s="81" t="s">
        <v>143</v>
      </c>
      <c r="F121" s="78" t="s">
        <v>146</v>
      </c>
      <c r="G121" s="82" t="str">
        <f>IF(H15="","",H15)</f>
        <v/>
      </c>
      <c r="H121" s="172" t="str">
        <f t="shared" si="18"/>
        <v/>
      </c>
      <c r="I121" s="9"/>
      <c r="J121" s="9"/>
      <c r="K121" s="9"/>
      <c r="L121" s="9"/>
    </row>
    <row r="122" spans="1:12" ht="13.8">
      <c r="A122" s="9"/>
      <c r="B122" s="90" t="s">
        <v>13</v>
      </c>
      <c r="C122" s="90" t="s">
        <v>136</v>
      </c>
      <c r="D122" s="66" t="s">
        <v>140</v>
      </c>
      <c r="E122" s="82" t="s">
        <v>143</v>
      </c>
      <c r="F122" s="65" t="s">
        <v>145</v>
      </c>
      <c r="G122" s="82" t="str">
        <f>IF(H16="","",H16)</f>
        <v/>
      </c>
      <c r="H122" s="87" t="str">
        <f t="shared" si="18"/>
        <v/>
      </c>
      <c r="I122" s="9"/>
      <c r="J122" s="9"/>
      <c r="K122" s="9"/>
      <c r="L122" s="9"/>
    </row>
    <row r="123" spans="1:12" ht="13.8">
      <c r="A123" s="9"/>
      <c r="B123" s="90" t="s">
        <v>13</v>
      </c>
      <c r="C123" s="90" t="s">
        <v>136</v>
      </c>
      <c r="D123" s="66" t="s">
        <v>140</v>
      </c>
      <c r="E123" s="82" t="s">
        <v>144</v>
      </c>
      <c r="F123" s="65" t="s">
        <v>146</v>
      </c>
      <c r="G123" s="82" t="str">
        <f>IF(H17="","",H17)</f>
        <v/>
      </c>
      <c r="H123" s="87" t="str">
        <f t="shared" si="18"/>
        <v/>
      </c>
      <c r="I123" s="9"/>
      <c r="J123" s="9"/>
      <c r="K123" s="9"/>
      <c r="L123" s="9"/>
    </row>
    <row r="124" spans="1:12" ht="13.8">
      <c r="A124" s="9"/>
      <c r="B124" s="90" t="s">
        <v>13</v>
      </c>
      <c r="C124" s="90" t="s">
        <v>136</v>
      </c>
      <c r="D124" s="66" t="s">
        <v>140</v>
      </c>
      <c r="E124" s="82" t="s">
        <v>144</v>
      </c>
      <c r="F124" s="65" t="s">
        <v>145</v>
      </c>
      <c r="G124" s="82" t="str">
        <f>IF(H18="","",H18)</f>
        <v/>
      </c>
      <c r="H124" s="87" t="str">
        <f t="shared" si="18"/>
        <v/>
      </c>
      <c r="I124" s="9"/>
      <c r="J124" s="9"/>
      <c r="K124" s="9"/>
      <c r="L124" s="9"/>
    </row>
    <row r="125" spans="1:12" ht="13.8">
      <c r="A125" s="9"/>
      <c r="B125" s="90" t="s">
        <v>13</v>
      </c>
      <c r="C125" s="90" t="s">
        <v>136</v>
      </c>
      <c r="D125" s="66" t="s">
        <v>141</v>
      </c>
      <c r="E125" s="82" t="s">
        <v>143</v>
      </c>
      <c r="F125" s="65" t="s">
        <v>146</v>
      </c>
      <c r="G125" s="82" t="str">
        <f>IF(H19="","",H19)</f>
        <v/>
      </c>
      <c r="H125" s="87" t="str">
        <f t="shared" si="18"/>
        <v/>
      </c>
      <c r="I125" s="9"/>
      <c r="J125" s="9"/>
      <c r="K125" s="9"/>
      <c r="L125" s="9"/>
    </row>
    <row r="126" spans="1:12" ht="13.8">
      <c r="A126" s="9"/>
      <c r="B126" s="90" t="s">
        <v>13</v>
      </c>
      <c r="C126" s="90" t="s">
        <v>136</v>
      </c>
      <c r="D126" s="66" t="s">
        <v>141</v>
      </c>
      <c r="E126" s="82" t="s">
        <v>143</v>
      </c>
      <c r="F126" s="65" t="s">
        <v>145</v>
      </c>
      <c r="G126" s="82" t="str">
        <f>IF(H20="","",H20)</f>
        <v/>
      </c>
      <c r="H126" s="87" t="str">
        <f t="shared" si="18"/>
        <v/>
      </c>
      <c r="I126" s="9"/>
      <c r="J126" s="9"/>
      <c r="K126" s="9"/>
      <c r="L126" s="9"/>
    </row>
    <row r="127" spans="1:12" ht="13.8">
      <c r="A127" s="9"/>
      <c r="B127" s="90" t="s">
        <v>13</v>
      </c>
      <c r="C127" s="90" t="s">
        <v>136</v>
      </c>
      <c r="D127" s="66" t="s">
        <v>141</v>
      </c>
      <c r="E127" s="82" t="s">
        <v>144</v>
      </c>
      <c r="F127" s="65" t="s">
        <v>146</v>
      </c>
      <c r="G127" s="82" t="str">
        <f>IF(H21="","",H21)</f>
        <v/>
      </c>
      <c r="H127" s="87" t="str">
        <f t="shared" si="18"/>
        <v/>
      </c>
      <c r="I127" s="9"/>
      <c r="J127" s="9"/>
      <c r="K127" s="9"/>
      <c r="L127" s="9"/>
    </row>
    <row r="128" spans="1:12" ht="13.8">
      <c r="A128" s="9"/>
      <c r="B128" s="90" t="s">
        <v>13</v>
      </c>
      <c r="C128" s="90" t="s">
        <v>136</v>
      </c>
      <c r="D128" s="66" t="s">
        <v>141</v>
      </c>
      <c r="E128" s="82" t="s">
        <v>144</v>
      </c>
      <c r="F128" s="65" t="s">
        <v>145</v>
      </c>
      <c r="G128" s="82" t="str">
        <f>IF(H22="","",H22)</f>
        <v/>
      </c>
      <c r="H128" s="87" t="str">
        <f t="shared" si="18"/>
        <v/>
      </c>
      <c r="I128" s="9"/>
      <c r="J128" s="9"/>
      <c r="K128" s="9"/>
      <c r="L128" s="9"/>
    </row>
    <row r="129" spans="1:12" ht="13.8">
      <c r="A129" s="9"/>
      <c r="B129" s="90" t="s">
        <v>13</v>
      </c>
      <c r="C129" s="90" t="s">
        <v>136</v>
      </c>
      <c r="D129" s="66" t="s">
        <v>142</v>
      </c>
      <c r="E129" s="82" t="s">
        <v>143</v>
      </c>
      <c r="F129" s="65" t="s">
        <v>146</v>
      </c>
      <c r="G129" s="82" t="str">
        <f>IF(H23="","",H23)</f>
        <v/>
      </c>
      <c r="H129" s="87" t="str">
        <f t="shared" si="18"/>
        <v/>
      </c>
      <c r="I129" s="9"/>
      <c r="J129" s="9"/>
      <c r="K129" s="9"/>
      <c r="L129" s="9"/>
    </row>
    <row r="130" spans="1:12" ht="13.8">
      <c r="A130" s="9"/>
      <c r="B130" s="90" t="s">
        <v>13</v>
      </c>
      <c r="C130" s="90" t="s">
        <v>136</v>
      </c>
      <c r="D130" s="66" t="s">
        <v>142</v>
      </c>
      <c r="E130" s="82" t="s">
        <v>143</v>
      </c>
      <c r="F130" s="65" t="s">
        <v>145</v>
      </c>
      <c r="G130" s="82" t="str">
        <f>IF(H24="","",H24)</f>
        <v/>
      </c>
      <c r="H130" s="87" t="str">
        <f t="shared" si="18"/>
        <v/>
      </c>
      <c r="I130" s="9"/>
      <c r="J130" s="9"/>
      <c r="K130" s="9"/>
      <c r="L130" s="9"/>
    </row>
    <row r="131" spans="1:12" ht="13.8">
      <c r="A131" s="9"/>
      <c r="B131" s="90" t="s">
        <v>13</v>
      </c>
      <c r="C131" s="90" t="s">
        <v>136</v>
      </c>
      <c r="D131" s="66" t="s">
        <v>142</v>
      </c>
      <c r="E131" s="82" t="s">
        <v>144</v>
      </c>
      <c r="F131" s="65" t="s">
        <v>146</v>
      </c>
      <c r="G131" s="82" t="str">
        <f>IF(H25="","",H25)</f>
        <v/>
      </c>
      <c r="H131" s="87" t="str">
        <f t="shared" si="18"/>
        <v/>
      </c>
      <c r="I131" s="9"/>
      <c r="J131" s="9"/>
      <c r="K131" s="9"/>
      <c r="L131" s="9"/>
    </row>
    <row r="132" spans="1:12" ht="13.8">
      <c r="A132" s="9"/>
      <c r="B132" s="90" t="s">
        <v>13</v>
      </c>
      <c r="C132" s="90" t="s">
        <v>136</v>
      </c>
      <c r="D132" s="66" t="s">
        <v>142</v>
      </c>
      <c r="E132" s="82" t="s">
        <v>144</v>
      </c>
      <c r="F132" s="65" t="s">
        <v>145</v>
      </c>
      <c r="G132" s="82" t="str">
        <f>IF(H26="","",H26)</f>
        <v/>
      </c>
      <c r="H132" s="87" t="str">
        <f t="shared" si="18"/>
        <v/>
      </c>
      <c r="I132" s="9"/>
      <c r="J132" s="9"/>
      <c r="K132" s="9"/>
      <c r="L132" s="9"/>
    </row>
    <row r="133" spans="1:12" ht="13.8">
      <c r="A133" s="9"/>
      <c r="B133" s="90" t="s">
        <v>13</v>
      </c>
      <c r="C133" s="90" t="s">
        <v>137</v>
      </c>
      <c r="D133" s="66" t="s">
        <v>140</v>
      </c>
      <c r="E133" s="82" t="s">
        <v>143</v>
      </c>
      <c r="F133" s="65" t="s">
        <v>146</v>
      </c>
      <c r="G133" s="82" t="str">
        <f>IF(H27="","",H27)</f>
        <v/>
      </c>
      <c r="H133" s="87" t="str">
        <f t="shared" si="18"/>
        <v/>
      </c>
      <c r="I133" s="9"/>
      <c r="J133" s="9"/>
      <c r="K133" s="9"/>
      <c r="L133" s="9"/>
    </row>
    <row r="134" spans="1:12" ht="13.8">
      <c r="A134" s="9"/>
      <c r="B134" s="90" t="s">
        <v>13</v>
      </c>
      <c r="C134" s="90" t="s">
        <v>137</v>
      </c>
      <c r="D134" s="66" t="s">
        <v>140</v>
      </c>
      <c r="E134" s="82" t="s">
        <v>143</v>
      </c>
      <c r="F134" s="65" t="s">
        <v>145</v>
      </c>
      <c r="G134" s="82" t="str">
        <f>IF(H28="","",H28)</f>
        <v/>
      </c>
      <c r="H134" s="87" t="str">
        <f t="shared" si="18"/>
        <v/>
      </c>
      <c r="I134" s="9"/>
      <c r="J134" s="9"/>
      <c r="K134" s="9"/>
      <c r="L134" s="9"/>
    </row>
    <row r="135" spans="1:12" ht="13.8">
      <c r="A135" s="9"/>
      <c r="B135" s="90" t="s">
        <v>13</v>
      </c>
      <c r="C135" s="90" t="s">
        <v>137</v>
      </c>
      <c r="D135" s="66" t="s">
        <v>140</v>
      </c>
      <c r="E135" s="82" t="s">
        <v>144</v>
      </c>
      <c r="F135" s="65" t="s">
        <v>146</v>
      </c>
      <c r="G135" s="82" t="str">
        <f>IF(H29="","",H29)</f>
        <v/>
      </c>
      <c r="H135" s="87" t="str">
        <f t="shared" si="18"/>
        <v/>
      </c>
      <c r="I135" s="9"/>
      <c r="J135" s="9"/>
      <c r="K135" s="9"/>
      <c r="L135" s="9"/>
    </row>
    <row r="136" spans="1:12" ht="13.8">
      <c r="A136" s="9"/>
      <c r="B136" s="90" t="s">
        <v>13</v>
      </c>
      <c r="C136" s="90" t="s">
        <v>137</v>
      </c>
      <c r="D136" s="66" t="s">
        <v>140</v>
      </c>
      <c r="E136" s="82" t="s">
        <v>144</v>
      </c>
      <c r="F136" s="65" t="s">
        <v>145</v>
      </c>
      <c r="G136" s="82" t="str">
        <f>IF(H30="","",H30)</f>
        <v/>
      </c>
      <c r="H136" s="87" t="str">
        <f t="shared" si="18"/>
        <v/>
      </c>
      <c r="I136" s="9"/>
      <c r="J136" s="9"/>
      <c r="K136" s="9"/>
      <c r="L136" s="9"/>
    </row>
    <row r="137" spans="1:12" ht="13.8">
      <c r="A137" s="9"/>
      <c r="B137" s="90" t="s">
        <v>13</v>
      </c>
      <c r="C137" s="90" t="s">
        <v>137</v>
      </c>
      <c r="D137" s="66" t="s">
        <v>141</v>
      </c>
      <c r="E137" s="82" t="s">
        <v>143</v>
      </c>
      <c r="F137" s="65" t="s">
        <v>146</v>
      </c>
      <c r="G137" s="82" t="str">
        <f>IF(H31="","",H31)</f>
        <v/>
      </c>
      <c r="H137" s="87" t="str">
        <f t="shared" ref="H137:H200" si="19">IF(G137="","",CONCATENATE(C137,"_",D137,"_",E137,"_",F137))</f>
        <v/>
      </c>
      <c r="I137" s="9"/>
      <c r="J137" s="9"/>
      <c r="K137" s="9"/>
      <c r="L137" s="9"/>
    </row>
    <row r="138" spans="1:12" ht="13.8">
      <c r="A138" s="9"/>
      <c r="B138" s="90" t="s">
        <v>13</v>
      </c>
      <c r="C138" s="90" t="s">
        <v>137</v>
      </c>
      <c r="D138" s="66" t="s">
        <v>141</v>
      </c>
      <c r="E138" s="82" t="s">
        <v>143</v>
      </c>
      <c r="F138" s="65" t="s">
        <v>145</v>
      </c>
      <c r="G138" s="82" t="str">
        <f>IF(H32="","",H32)</f>
        <v/>
      </c>
      <c r="H138" s="87" t="str">
        <f t="shared" si="19"/>
        <v/>
      </c>
      <c r="I138" s="9"/>
      <c r="J138" s="9"/>
      <c r="K138" s="9"/>
      <c r="L138" s="9"/>
    </row>
    <row r="139" spans="1:12" ht="13.8">
      <c r="A139" s="9"/>
      <c r="B139" s="90" t="s">
        <v>13</v>
      </c>
      <c r="C139" s="90" t="s">
        <v>137</v>
      </c>
      <c r="D139" s="66" t="s">
        <v>141</v>
      </c>
      <c r="E139" s="82" t="s">
        <v>144</v>
      </c>
      <c r="F139" s="65" t="s">
        <v>146</v>
      </c>
      <c r="G139" s="82" t="str">
        <f>IF(H33="","",H33)</f>
        <v/>
      </c>
      <c r="H139" s="87" t="str">
        <f t="shared" si="19"/>
        <v/>
      </c>
      <c r="I139" s="9"/>
      <c r="J139" s="9"/>
      <c r="K139" s="9"/>
      <c r="L139" s="9"/>
    </row>
    <row r="140" spans="1:12" ht="13.8">
      <c r="A140" s="9"/>
      <c r="B140" s="90" t="s">
        <v>13</v>
      </c>
      <c r="C140" s="90" t="s">
        <v>137</v>
      </c>
      <c r="D140" s="66" t="s">
        <v>141</v>
      </c>
      <c r="E140" s="82" t="s">
        <v>144</v>
      </c>
      <c r="F140" s="67" t="s">
        <v>145</v>
      </c>
      <c r="G140" s="82" t="str">
        <f>IF(H34="","",H34)</f>
        <v/>
      </c>
      <c r="H140" s="87" t="str">
        <f t="shared" si="19"/>
        <v/>
      </c>
      <c r="I140" s="9"/>
      <c r="J140" s="9"/>
      <c r="K140" s="9"/>
      <c r="L140" s="9"/>
    </row>
    <row r="141" spans="1:12" ht="13.8">
      <c r="A141" s="9"/>
      <c r="B141" s="90" t="s">
        <v>13</v>
      </c>
      <c r="C141" s="90" t="s">
        <v>137</v>
      </c>
      <c r="D141" s="66" t="s">
        <v>142</v>
      </c>
      <c r="E141" s="82" t="s">
        <v>143</v>
      </c>
      <c r="F141" s="67" t="s">
        <v>146</v>
      </c>
      <c r="G141" s="82" t="str">
        <f>IF(H35="","",H35)</f>
        <v/>
      </c>
      <c r="H141" s="87" t="str">
        <f t="shared" si="19"/>
        <v/>
      </c>
      <c r="I141" s="9"/>
      <c r="J141" s="9"/>
      <c r="K141" s="9"/>
      <c r="L141" s="9"/>
    </row>
    <row r="142" spans="1:12" ht="13.8">
      <c r="A142" s="9"/>
      <c r="B142" s="90" t="s">
        <v>13</v>
      </c>
      <c r="C142" s="90" t="s">
        <v>137</v>
      </c>
      <c r="D142" s="66" t="s">
        <v>142</v>
      </c>
      <c r="E142" s="82" t="s">
        <v>143</v>
      </c>
      <c r="F142" s="67" t="s">
        <v>145</v>
      </c>
      <c r="G142" s="82" t="str">
        <f>IF(H36="","",H36)</f>
        <v/>
      </c>
      <c r="H142" s="87" t="str">
        <f t="shared" si="19"/>
        <v/>
      </c>
      <c r="I142" s="9"/>
      <c r="J142" s="9"/>
      <c r="K142" s="9"/>
      <c r="L142" s="9"/>
    </row>
    <row r="143" spans="1:12" ht="13.8">
      <c r="A143" s="9"/>
      <c r="B143" s="90" t="s">
        <v>13</v>
      </c>
      <c r="C143" s="90" t="s">
        <v>137</v>
      </c>
      <c r="D143" s="66" t="s">
        <v>142</v>
      </c>
      <c r="E143" s="82" t="s">
        <v>144</v>
      </c>
      <c r="F143" s="67" t="s">
        <v>146</v>
      </c>
      <c r="G143" s="82" t="str">
        <f>IF(H37="","",H37)</f>
        <v/>
      </c>
      <c r="H143" s="87" t="str">
        <f t="shared" si="19"/>
        <v/>
      </c>
      <c r="I143" s="9"/>
      <c r="J143" s="9"/>
      <c r="K143" s="9"/>
      <c r="L143" s="9"/>
    </row>
    <row r="144" spans="1:12" ht="13.8">
      <c r="A144" s="9"/>
      <c r="B144" s="90" t="s">
        <v>13</v>
      </c>
      <c r="C144" s="90" t="s">
        <v>137</v>
      </c>
      <c r="D144" s="66" t="s">
        <v>142</v>
      </c>
      <c r="E144" s="82" t="s">
        <v>144</v>
      </c>
      <c r="F144" s="67" t="s">
        <v>145</v>
      </c>
      <c r="G144" s="82" t="str">
        <f>IF(H38="","",H38)</f>
        <v/>
      </c>
      <c r="H144" s="87" t="str">
        <f t="shared" si="19"/>
        <v/>
      </c>
      <c r="I144" s="9"/>
      <c r="J144" s="9"/>
      <c r="K144" s="9"/>
      <c r="L144" s="9"/>
    </row>
    <row r="145" spans="1:12" ht="13.8">
      <c r="A145" s="9"/>
      <c r="B145" s="90" t="s">
        <v>13</v>
      </c>
      <c r="C145" s="90" t="s">
        <v>138</v>
      </c>
      <c r="D145" s="66" t="s">
        <v>140</v>
      </c>
      <c r="E145" s="82" t="s">
        <v>143</v>
      </c>
      <c r="F145" s="67" t="s">
        <v>146</v>
      </c>
      <c r="G145" s="82" t="str">
        <f>IF(H39="","",H39)</f>
        <v/>
      </c>
      <c r="H145" s="87" t="str">
        <f t="shared" si="19"/>
        <v/>
      </c>
      <c r="I145" s="9"/>
      <c r="J145" s="9"/>
      <c r="K145" s="9"/>
      <c r="L145" s="9"/>
    </row>
    <row r="146" spans="1:12" ht="13.8">
      <c r="A146" s="9"/>
      <c r="B146" s="90" t="s">
        <v>13</v>
      </c>
      <c r="C146" s="90" t="s">
        <v>138</v>
      </c>
      <c r="D146" s="66" t="s">
        <v>140</v>
      </c>
      <c r="E146" s="82" t="s">
        <v>143</v>
      </c>
      <c r="F146" s="67" t="s">
        <v>145</v>
      </c>
      <c r="G146" s="82" t="str">
        <f>IF(H40="","",H40)</f>
        <v/>
      </c>
      <c r="H146" s="87" t="str">
        <f t="shared" si="19"/>
        <v/>
      </c>
      <c r="I146" s="9"/>
      <c r="J146" s="9"/>
      <c r="K146" s="9"/>
      <c r="L146" s="9"/>
    </row>
    <row r="147" spans="1:12" ht="13.8">
      <c r="A147" s="9"/>
      <c r="B147" s="90" t="s">
        <v>13</v>
      </c>
      <c r="C147" s="90" t="s">
        <v>138</v>
      </c>
      <c r="D147" s="66" t="s">
        <v>140</v>
      </c>
      <c r="E147" s="82" t="s">
        <v>144</v>
      </c>
      <c r="F147" s="67" t="s">
        <v>146</v>
      </c>
      <c r="G147" s="82" t="str">
        <f>IF(H41="","",H41)</f>
        <v/>
      </c>
      <c r="H147" s="87" t="str">
        <f t="shared" si="19"/>
        <v/>
      </c>
      <c r="I147" s="9"/>
      <c r="J147" s="9"/>
      <c r="K147" s="9"/>
      <c r="L147" s="9"/>
    </row>
    <row r="148" spans="1:12" ht="13.8">
      <c r="A148" s="9"/>
      <c r="B148" s="90" t="s">
        <v>13</v>
      </c>
      <c r="C148" s="90" t="s">
        <v>138</v>
      </c>
      <c r="D148" s="66" t="s">
        <v>140</v>
      </c>
      <c r="E148" s="84" t="s">
        <v>144</v>
      </c>
      <c r="F148" s="68" t="s">
        <v>145</v>
      </c>
      <c r="G148" s="82" t="str">
        <f>IF(H42="","",H42)</f>
        <v/>
      </c>
      <c r="H148" s="87" t="str">
        <f t="shared" si="19"/>
        <v/>
      </c>
      <c r="I148" s="9"/>
      <c r="J148" s="9"/>
      <c r="K148" s="9"/>
      <c r="L148" s="9"/>
    </row>
    <row r="149" spans="1:12" ht="13.8">
      <c r="B149" s="90" t="s">
        <v>13</v>
      </c>
      <c r="C149" s="90" t="s">
        <v>138</v>
      </c>
      <c r="D149" s="69" t="s">
        <v>141</v>
      </c>
      <c r="E149" s="84" t="s">
        <v>143</v>
      </c>
      <c r="F149" s="67" t="s">
        <v>146</v>
      </c>
      <c r="G149" s="82" t="str">
        <f>IF(H43="","",H43)</f>
        <v/>
      </c>
      <c r="H149" s="87" t="str">
        <f t="shared" si="19"/>
        <v/>
      </c>
    </row>
    <row r="150" spans="1:12" ht="13.8">
      <c r="B150" s="91" t="s">
        <v>13</v>
      </c>
      <c r="C150" s="91" t="s">
        <v>138</v>
      </c>
      <c r="D150" s="70" t="s">
        <v>141</v>
      </c>
      <c r="E150" s="85" t="s">
        <v>143</v>
      </c>
      <c r="F150" s="70" t="s">
        <v>145</v>
      </c>
      <c r="G150" s="82" t="str">
        <f>IF(H44="","",H44)</f>
        <v/>
      </c>
      <c r="H150" s="87" t="str">
        <f t="shared" si="19"/>
        <v/>
      </c>
    </row>
    <row r="151" spans="1:12" ht="13.8">
      <c r="B151" s="86" t="s">
        <v>13</v>
      </c>
      <c r="C151" s="86" t="s">
        <v>138</v>
      </c>
      <c r="D151" s="74" t="s">
        <v>141</v>
      </c>
      <c r="E151" s="86" t="s">
        <v>144</v>
      </c>
      <c r="F151" s="73" t="s">
        <v>146</v>
      </c>
      <c r="G151" s="82" t="str">
        <f>IF(H45="","",H45)</f>
        <v/>
      </c>
      <c r="H151" s="87" t="str">
        <f t="shared" si="19"/>
        <v/>
      </c>
    </row>
    <row r="152" spans="1:12" ht="13.8">
      <c r="B152" s="86" t="s">
        <v>13</v>
      </c>
      <c r="C152" s="86" t="s">
        <v>138</v>
      </c>
      <c r="D152" s="74" t="s">
        <v>141</v>
      </c>
      <c r="E152" s="86" t="s">
        <v>144</v>
      </c>
      <c r="F152" s="73" t="s">
        <v>145</v>
      </c>
      <c r="G152" s="82" t="str">
        <f>IF(H46="","",H46)</f>
        <v/>
      </c>
      <c r="H152" s="87" t="str">
        <f t="shared" si="19"/>
        <v/>
      </c>
    </row>
    <row r="153" spans="1:12" ht="13.8">
      <c r="B153" s="86" t="s">
        <v>13</v>
      </c>
      <c r="C153" s="86" t="s">
        <v>138</v>
      </c>
      <c r="D153" s="74" t="s">
        <v>142</v>
      </c>
      <c r="E153" s="86" t="s">
        <v>143</v>
      </c>
      <c r="F153" s="73" t="s">
        <v>146</v>
      </c>
      <c r="G153" s="82" t="str">
        <f>IF(H47="","",H47)</f>
        <v/>
      </c>
      <c r="H153" s="87" t="str">
        <f t="shared" si="19"/>
        <v/>
      </c>
    </row>
    <row r="154" spans="1:12" ht="13.8">
      <c r="B154" s="86" t="s">
        <v>13</v>
      </c>
      <c r="C154" s="86" t="s">
        <v>138</v>
      </c>
      <c r="D154" s="74" t="s">
        <v>142</v>
      </c>
      <c r="E154" s="86" t="s">
        <v>143</v>
      </c>
      <c r="F154" s="73" t="s">
        <v>145</v>
      </c>
      <c r="G154" s="82" t="str">
        <f>IF(H48="","",H48)</f>
        <v/>
      </c>
      <c r="H154" s="87" t="str">
        <f t="shared" si="19"/>
        <v/>
      </c>
    </row>
    <row r="155" spans="1:12" ht="13.8">
      <c r="B155" s="86" t="s">
        <v>13</v>
      </c>
      <c r="C155" s="86" t="s">
        <v>138</v>
      </c>
      <c r="D155" s="74" t="s">
        <v>142</v>
      </c>
      <c r="E155" s="86" t="s">
        <v>144</v>
      </c>
      <c r="F155" s="73" t="s">
        <v>146</v>
      </c>
      <c r="G155" s="82" t="str">
        <f>IF(H49="","",H49)</f>
        <v/>
      </c>
      <c r="H155" s="87" t="str">
        <f t="shared" si="19"/>
        <v/>
      </c>
    </row>
    <row r="156" spans="1:12" ht="13.8">
      <c r="B156" s="86" t="s">
        <v>13</v>
      </c>
      <c r="C156" s="86" t="s">
        <v>138</v>
      </c>
      <c r="D156" s="74" t="s">
        <v>142</v>
      </c>
      <c r="E156" s="86" t="s">
        <v>144</v>
      </c>
      <c r="F156" s="73" t="s">
        <v>145</v>
      </c>
      <c r="G156" s="82" t="str">
        <f>IF(H50="","",H50)</f>
        <v/>
      </c>
      <c r="H156" s="87" t="str">
        <f t="shared" si="19"/>
        <v/>
      </c>
    </row>
    <row r="157" spans="1:12" ht="13.8">
      <c r="B157" s="86" t="s">
        <v>13</v>
      </c>
      <c r="C157" s="86" t="s">
        <v>139</v>
      </c>
      <c r="D157" s="74" t="s">
        <v>140</v>
      </c>
      <c r="E157" s="86" t="s">
        <v>143</v>
      </c>
      <c r="F157" s="73" t="s">
        <v>146</v>
      </c>
      <c r="G157" s="82" t="str">
        <f>IF(H51="","",H51)</f>
        <v/>
      </c>
      <c r="H157" s="87" t="str">
        <f t="shared" si="19"/>
        <v/>
      </c>
    </row>
    <row r="158" spans="1:12" ht="13.8">
      <c r="B158" s="86" t="s">
        <v>13</v>
      </c>
      <c r="C158" s="86" t="s">
        <v>139</v>
      </c>
      <c r="D158" s="74" t="s">
        <v>140</v>
      </c>
      <c r="E158" s="86" t="s">
        <v>143</v>
      </c>
      <c r="F158" s="73" t="s">
        <v>145</v>
      </c>
      <c r="G158" s="82" t="str">
        <f>IF(H52="","",H52)</f>
        <v/>
      </c>
      <c r="H158" s="87" t="str">
        <f t="shared" si="19"/>
        <v/>
      </c>
    </row>
    <row r="159" spans="1:12" ht="13.8">
      <c r="B159" s="86" t="s">
        <v>13</v>
      </c>
      <c r="C159" s="86" t="s">
        <v>139</v>
      </c>
      <c r="D159" s="74" t="s">
        <v>140</v>
      </c>
      <c r="E159" s="86" t="s">
        <v>144</v>
      </c>
      <c r="F159" s="73" t="s">
        <v>146</v>
      </c>
      <c r="G159" s="82" t="str">
        <f>IF(H53="","",H53)</f>
        <v/>
      </c>
      <c r="H159" s="87" t="str">
        <f t="shared" si="19"/>
        <v/>
      </c>
    </row>
    <row r="160" spans="1:12" ht="13.8">
      <c r="B160" s="86" t="s">
        <v>13</v>
      </c>
      <c r="C160" s="86" t="s">
        <v>139</v>
      </c>
      <c r="D160" s="74" t="s">
        <v>140</v>
      </c>
      <c r="E160" s="86" t="s">
        <v>144</v>
      </c>
      <c r="F160" s="73" t="s">
        <v>145</v>
      </c>
      <c r="G160" s="82" t="str">
        <f>IF(H54="","",H54)</f>
        <v/>
      </c>
      <c r="H160" s="87" t="str">
        <f t="shared" si="19"/>
        <v/>
      </c>
    </row>
    <row r="161" spans="2:8" ht="13.8">
      <c r="B161" s="86" t="s">
        <v>13</v>
      </c>
      <c r="C161" s="86" t="s">
        <v>139</v>
      </c>
      <c r="D161" s="74" t="s">
        <v>141</v>
      </c>
      <c r="E161" s="86" t="s">
        <v>143</v>
      </c>
      <c r="F161" s="69" t="s">
        <v>146</v>
      </c>
      <c r="G161" s="82" t="str">
        <f>IF(H55="","",H55)</f>
        <v/>
      </c>
      <c r="H161" s="87" t="str">
        <f t="shared" si="19"/>
        <v/>
      </c>
    </row>
    <row r="162" spans="2:8" ht="13.8">
      <c r="B162" s="86" t="s">
        <v>13</v>
      </c>
      <c r="C162" s="86" t="s">
        <v>139</v>
      </c>
      <c r="D162" s="74" t="s">
        <v>141</v>
      </c>
      <c r="E162" s="86" t="s">
        <v>143</v>
      </c>
      <c r="F162" s="69" t="s">
        <v>145</v>
      </c>
      <c r="G162" s="82" t="str">
        <f>IF(H56="","",H56)</f>
        <v/>
      </c>
      <c r="H162" s="87" t="str">
        <f t="shared" si="19"/>
        <v/>
      </c>
    </row>
    <row r="163" spans="2:8" ht="13.8">
      <c r="B163" s="84" t="s">
        <v>13</v>
      </c>
      <c r="C163" s="84" t="s">
        <v>139</v>
      </c>
      <c r="D163" s="67" t="s">
        <v>141</v>
      </c>
      <c r="E163" s="84" t="s">
        <v>144</v>
      </c>
      <c r="F163" s="67" t="s">
        <v>146</v>
      </c>
      <c r="G163" s="82" t="str">
        <f>IF(H57="","",H57)</f>
        <v/>
      </c>
      <c r="H163" s="87" t="str">
        <f t="shared" si="19"/>
        <v/>
      </c>
    </row>
    <row r="164" spans="2:8" ht="13.8">
      <c r="B164" s="87" t="s">
        <v>13</v>
      </c>
      <c r="C164" s="87" t="s">
        <v>139</v>
      </c>
      <c r="D164" s="77" t="s">
        <v>141</v>
      </c>
      <c r="E164" s="87" t="s">
        <v>144</v>
      </c>
      <c r="F164" s="77" t="s">
        <v>145</v>
      </c>
      <c r="G164" s="82" t="str">
        <f>IF(H58="","",H58)</f>
        <v/>
      </c>
      <c r="H164" s="87" t="str">
        <f t="shared" si="19"/>
        <v/>
      </c>
    </row>
    <row r="165" spans="2:8" ht="13.8">
      <c r="B165" s="87" t="s">
        <v>13</v>
      </c>
      <c r="C165" s="87" t="s">
        <v>139</v>
      </c>
      <c r="D165" s="77" t="s">
        <v>142</v>
      </c>
      <c r="E165" s="87" t="s">
        <v>143</v>
      </c>
      <c r="F165" s="77" t="s">
        <v>146</v>
      </c>
      <c r="G165" s="82" t="str">
        <f>IF(H59="","",H59)</f>
        <v/>
      </c>
      <c r="H165" s="87" t="str">
        <f t="shared" si="19"/>
        <v/>
      </c>
    </row>
    <row r="166" spans="2:8" ht="13.8">
      <c r="B166" s="87" t="s">
        <v>13</v>
      </c>
      <c r="C166" s="87" t="s">
        <v>139</v>
      </c>
      <c r="D166" s="77" t="s">
        <v>142</v>
      </c>
      <c r="E166" s="87" t="s">
        <v>143</v>
      </c>
      <c r="F166" s="77" t="s">
        <v>145</v>
      </c>
      <c r="G166" s="82" t="str">
        <f>IF(H60="","",H60)</f>
        <v/>
      </c>
      <c r="H166" s="87" t="str">
        <f t="shared" si="19"/>
        <v/>
      </c>
    </row>
    <row r="167" spans="2:8" ht="13.8">
      <c r="B167" s="87" t="s">
        <v>13</v>
      </c>
      <c r="C167" s="87" t="s">
        <v>139</v>
      </c>
      <c r="D167" s="77" t="s">
        <v>142</v>
      </c>
      <c r="E167" s="87" t="s">
        <v>144</v>
      </c>
      <c r="F167" s="77" t="s">
        <v>146</v>
      </c>
      <c r="G167" s="82" t="str">
        <f>IF(H61="","",H61)</f>
        <v/>
      </c>
      <c r="H167" s="87" t="str">
        <f t="shared" si="19"/>
        <v/>
      </c>
    </row>
    <row r="168" spans="2:8" ht="13.8">
      <c r="B168" s="88" t="s">
        <v>13</v>
      </c>
      <c r="C168" s="88" t="s">
        <v>139</v>
      </c>
      <c r="D168" s="80" t="s">
        <v>142</v>
      </c>
      <c r="E168" s="88" t="s">
        <v>144</v>
      </c>
      <c r="F168" s="80" t="s">
        <v>145</v>
      </c>
      <c r="G168" s="83" t="str">
        <f>IF(H62="","",H62)</f>
        <v/>
      </c>
      <c r="H168" s="88" t="str">
        <f t="shared" si="19"/>
        <v/>
      </c>
    </row>
    <row r="169" spans="2:8" ht="13.8">
      <c r="B169" s="89" t="s">
        <v>14</v>
      </c>
      <c r="C169" s="89" t="s">
        <v>136</v>
      </c>
      <c r="D169" s="79" t="s">
        <v>140</v>
      </c>
      <c r="E169" s="81" t="s">
        <v>143</v>
      </c>
      <c r="F169" s="78" t="s">
        <v>146</v>
      </c>
      <c r="G169" s="82" t="str">
        <f>IF(I15="","",I15)</f>
        <v/>
      </c>
      <c r="H169" s="172" t="str">
        <f t="shared" si="19"/>
        <v/>
      </c>
    </row>
    <row r="170" spans="2:8" ht="13.8">
      <c r="B170" s="90" t="s">
        <v>14</v>
      </c>
      <c r="C170" s="90" t="s">
        <v>136</v>
      </c>
      <c r="D170" s="66" t="s">
        <v>140</v>
      </c>
      <c r="E170" s="82" t="s">
        <v>143</v>
      </c>
      <c r="F170" s="65" t="s">
        <v>145</v>
      </c>
      <c r="G170" s="82" t="str">
        <f>IF(I16="","",I16)</f>
        <v/>
      </c>
      <c r="H170" s="87" t="str">
        <f t="shared" si="19"/>
        <v/>
      </c>
    </row>
    <row r="171" spans="2:8" ht="13.8">
      <c r="B171" s="90" t="s">
        <v>14</v>
      </c>
      <c r="C171" s="90" t="s">
        <v>136</v>
      </c>
      <c r="D171" s="66" t="s">
        <v>140</v>
      </c>
      <c r="E171" s="82" t="s">
        <v>144</v>
      </c>
      <c r="F171" s="65" t="s">
        <v>146</v>
      </c>
      <c r="G171" s="82" t="str">
        <f>IF(I17="","",I17)</f>
        <v/>
      </c>
      <c r="H171" s="87" t="str">
        <f t="shared" si="19"/>
        <v/>
      </c>
    </row>
    <row r="172" spans="2:8" ht="13.8">
      <c r="B172" s="90" t="s">
        <v>14</v>
      </c>
      <c r="C172" s="90" t="s">
        <v>136</v>
      </c>
      <c r="D172" s="66" t="s">
        <v>140</v>
      </c>
      <c r="E172" s="82" t="s">
        <v>144</v>
      </c>
      <c r="F172" s="65" t="s">
        <v>145</v>
      </c>
      <c r="G172" s="82" t="str">
        <f>IF(I18="","",I18)</f>
        <v/>
      </c>
      <c r="H172" s="87" t="str">
        <f t="shared" si="19"/>
        <v/>
      </c>
    </row>
    <row r="173" spans="2:8" ht="13.8">
      <c r="B173" s="90" t="s">
        <v>14</v>
      </c>
      <c r="C173" s="90" t="s">
        <v>136</v>
      </c>
      <c r="D173" s="66" t="s">
        <v>141</v>
      </c>
      <c r="E173" s="82" t="s">
        <v>143</v>
      </c>
      <c r="F173" s="65" t="s">
        <v>146</v>
      </c>
      <c r="G173" s="82" t="str">
        <f>IF(I19="","",I19)</f>
        <v/>
      </c>
      <c r="H173" s="87" t="str">
        <f t="shared" si="19"/>
        <v/>
      </c>
    </row>
    <row r="174" spans="2:8" ht="13.8">
      <c r="B174" s="90" t="s">
        <v>14</v>
      </c>
      <c r="C174" s="90" t="s">
        <v>136</v>
      </c>
      <c r="D174" s="66" t="s">
        <v>141</v>
      </c>
      <c r="E174" s="82" t="s">
        <v>143</v>
      </c>
      <c r="F174" s="65" t="s">
        <v>145</v>
      </c>
      <c r="G174" s="82" t="str">
        <f>IF(I20="","",I20)</f>
        <v/>
      </c>
      <c r="H174" s="87" t="str">
        <f t="shared" si="19"/>
        <v/>
      </c>
    </row>
    <row r="175" spans="2:8" ht="13.8">
      <c r="B175" s="90" t="s">
        <v>14</v>
      </c>
      <c r="C175" s="90" t="s">
        <v>136</v>
      </c>
      <c r="D175" s="66" t="s">
        <v>141</v>
      </c>
      <c r="E175" s="82" t="s">
        <v>144</v>
      </c>
      <c r="F175" s="65" t="s">
        <v>146</v>
      </c>
      <c r="G175" s="82" t="str">
        <f>IF(I21="","",I21)</f>
        <v/>
      </c>
      <c r="H175" s="87" t="str">
        <f t="shared" si="19"/>
        <v/>
      </c>
    </row>
    <row r="176" spans="2:8" ht="13.8">
      <c r="B176" s="90" t="s">
        <v>14</v>
      </c>
      <c r="C176" s="90" t="s">
        <v>136</v>
      </c>
      <c r="D176" s="66" t="s">
        <v>141</v>
      </c>
      <c r="E176" s="82" t="s">
        <v>144</v>
      </c>
      <c r="F176" s="65" t="s">
        <v>145</v>
      </c>
      <c r="G176" s="82" t="str">
        <f>IF(I22="","",I22)</f>
        <v/>
      </c>
      <c r="H176" s="87" t="str">
        <f t="shared" si="19"/>
        <v/>
      </c>
    </row>
    <row r="177" spans="2:8" ht="13.8">
      <c r="B177" s="90" t="s">
        <v>14</v>
      </c>
      <c r="C177" s="90" t="s">
        <v>136</v>
      </c>
      <c r="D177" s="66" t="s">
        <v>142</v>
      </c>
      <c r="E177" s="82" t="s">
        <v>143</v>
      </c>
      <c r="F177" s="65" t="s">
        <v>146</v>
      </c>
      <c r="G177" s="82" t="str">
        <f>IF(I23="","",I23)</f>
        <v/>
      </c>
      <c r="H177" s="87" t="str">
        <f t="shared" si="19"/>
        <v/>
      </c>
    </row>
    <row r="178" spans="2:8" ht="13.8">
      <c r="B178" s="90" t="s">
        <v>14</v>
      </c>
      <c r="C178" s="90" t="s">
        <v>136</v>
      </c>
      <c r="D178" s="66" t="s">
        <v>142</v>
      </c>
      <c r="E178" s="82" t="s">
        <v>143</v>
      </c>
      <c r="F178" s="65" t="s">
        <v>145</v>
      </c>
      <c r="G178" s="82" t="str">
        <f>IF(I24="","",I24)</f>
        <v/>
      </c>
      <c r="H178" s="87" t="str">
        <f t="shared" si="19"/>
        <v/>
      </c>
    </row>
    <row r="179" spans="2:8" ht="13.8">
      <c r="B179" s="90" t="s">
        <v>14</v>
      </c>
      <c r="C179" s="90" t="s">
        <v>136</v>
      </c>
      <c r="D179" s="66" t="s">
        <v>142</v>
      </c>
      <c r="E179" s="82" t="s">
        <v>144</v>
      </c>
      <c r="F179" s="65" t="s">
        <v>146</v>
      </c>
      <c r="G179" s="82" t="str">
        <f>IF(I25="","",I25)</f>
        <v/>
      </c>
      <c r="H179" s="87" t="str">
        <f t="shared" si="19"/>
        <v/>
      </c>
    </row>
    <row r="180" spans="2:8" ht="13.8">
      <c r="B180" s="90" t="s">
        <v>14</v>
      </c>
      <c r="C180" s="90" t="s">
        <v>136</v>
      </c>
      <c r="D180" s="66" t="s">
        <v>142</v>
      </c>
      <c r="E180" s="82" t="s">
        <v>144</v>
      </c>
      <c r="F180" s="65" t="s">
        <v>145</v>
      </c>
      <c r="G180" s="82" t="str">
        <f>IF(I26="","",I26)</f>
        <v/>
      </c>
      <c r="H180" s="87" t="str">
        <f t="shared" si="19"/>
        <v/>
      </c>
    </row>
    <row r="181" spans="2:8" ht="13.8">
      <c r="B181" s="90" t="s">
        <v>14</v>
      </c>
      <c r="C181" s="90" t="s">
        <v>137</v>
      </c>
      <c r="D181" s="66" t="s">
        <v>140</v>
      </c>
      <c r="E181" s="82" t="s">
        <v>143</v>
      </c>
      <c r="F181" s="65" t="s">
        <v>146</v>
      </c>
      <c r="G181" s="82" t="str">
        <f>IF(I27="","",I27)</f>
        <v/>
      </c>
      <c r="H181" s="87" t="str">
        <f t="shared" si="19"/>
        <v/>
      </c>
    </row>
    <row r="182" spans="2:8" ht="13.8">
      <c r="B182" s="90" t="s">
        <v>14</v>
      </c>
      <c r="C182" s="90" t="s">
        <v>137</v>
      </c>
      <c r="D182" s="66" t="s">
        <v>140</v>
      </c>
      <c r="E182" s="82" t="s">
        <v>143</v>
      </c>
      <c r="F182" s="65" t="s">
        <v>145</v>
      </c>
      <c r="G182" s="82" t="str">
        <f>IF(I28="","",I28)</f>
        <v/>
      </c>
      <c r="H182" s="87" t="str">
        <f t="shared" si="19"/>
        <v/>
      </c>
    </row>
    <row r="183" spans="2:8" ht="13.8">
      <c r="B183" s="90" t="s">
        <v>14</v>
      </c>
      <c r="C183" s="90" t="s">
        <v>137</v>
      </c>
      <c r="D183" s="66" t="s">
        <v>140</v>
      </c>
      <c r="E183" s="82" t="s">
        <v>144</v>
      </c>
      <c r="F183" s="65" t="s">
        <v>146</v>
      </c>
      <c r="G183" s="82" t="str">
        <f>IF(I29="","",I29)</f>
        <v/>
      </c>
      <c r="H183" s="87" t="str">
        <f t="shared" si="19"/>
        <v/>
      </c>
    </row>
    <row r="184" spans="2:8" ht="13.8">
      <c r="B184" s="90" t="s">
        <v>14</v>
      </c>
      <c r="C184" s="90" t="s">
        <v>137</v>
      </c>
      <c r="D184" s="66" t="s">
        <v>140</v>
      </c>
      <c r="E184" s="82" t="s">
        <v>144</v>
      </c>
      <c r="F184" s="65" t="s">
        <v>145</v>
      </c>
      <c r="G184" s="82" t="str">
        <f>IF(I30="","",I30)</f>
        <v/>
      </c>
      <c r="H184" s="87" t="str">
        <f t="shared" si="19"/>
        <v/>
      </c>
    </row>
    <row r="185" spans="2:8" ht="13.8">
      <c r="B185" s="90" t="s">
        <v>14</v>
      </c>
      <c r="C185" s="90" t="s">
        <v>137</v>
      </c>
      <c r="D185" s="66" t="s">
        <v>141</v>
      </c>
      <c r="E185" s="82" t="s">
        <v>143</v>
      </c>
      <c r="F185" s="65" t="s">
        <v>146</v>
      </c>
      <c r="G185" s="82" t="str">
        <f>IF(I31="","",I31)</f>
        <v/>
      </c>
      <c r="H185" s="87" t="str">
        <f t="shared" si="19"/>
        <v/>
      </c>
    </row>
    <row r="186" spans="2:8" ht="13.8">
      <c r="B186" s="90" t="s">
        <v>14</v>
      </c>
      <c r="C186" s="90" t="s">
        <v>137</v>
      </c>
      <c r="D186" s="66" t="s">
        <v>141</v>
      </c>
      <c r="E186" s="82" t="s">
        <v>143</v>
      </c>
      <c r="F186" s="65" t="s">
        <v>145</v>
      </c>
      <c r="G186" s="82" t="str">
        <f>IF(I32="","",I32)</f>
        <v/>
      </c>
      <c r="H186" s="87" t="str">
        <f t="shared" si="19"/>
        <v/>
      </c>
    </row>
    <row r="187" spans="2:8" ht="13.8">
      <c r="B187" s="90" t="s">
        <v>14</v>
      </c>
      <c r="C187" s="90" t="s">
        <v>137</v>
      </c>
      <c r="D187" s="66" t="s">
        <v>141</v>
      </c>
      <c r="E187" s="82" t="s">
        <v>144</v>
      </c>
      <c r="F187" s="65" t="s">
        <v>146</v>
      </c>
      <c r="G187" s="82" t="str">
        <f>IF(I33="","",I33)</f>
        <v/>
      </c>
      <c r="H187" s="87" t="str">
        <f t="shared" si="19"/>
        <v/>
      </c>
    </row>
    <row r="188" spans="2:8" ht="13.8">
      <c r="B188" s="90" t="s">
        <v>14</v>
      </c>
      <c r="C188" s="90" t="s">
        <v>137</v>
      </c>
      <c r="D188" s="66" t="s">
        <v>141</v>
      </c>
      <c r="E188" s="82" t="s">
        <v>144</v>
      </c>
      <c r="F188" s="67" t="s">
        <v>145</v>
      </c>
      <c r="G188" s="82" t="str">
        <f>IF(I34="","",I34)</f>
        <v/>
      </c>
      <c r="H188" s="87" t="str">
        <f t="shared" si="19"/>
        <v/>
      </c>
    </row>
    <row r="189" spans="2:8" ht="13.8">
      <c r="B189" s="90" t="s">
        <v>14</v>
      </c>
      <c r="C189" s="90" t="s">
        <v>137</v>
      </c>
      <c r="D189" s="66" t="s">
        <v>142</v>
      </c>
      <c r="E189" s="82" t="s">
        <v>143</v>
      </c>
      <c r="F189" s="67" t="s">
        <v>146</v>
      </c>
      <c r="G189" s="82" t="str">
        <f>IF(I35="","",I35)</f>
        <v/>
      </c>
      <c r="H189" s="87" t="str">
        <f t="shared" si="19"/>
        <v/>
      </c>
    </row>
    <row r="190" spans="2:8" ht="13.8">
      <c r="B190" s="90" t="s">
        <v>14</v>
      </c>
      <c r="C190" s="90" t="s">
        <v>137</v>
      </c>
      <c r="D190" s="66" t="s">
        <v>142</v>
      </c>
      <c r="E190" s="82" t="s">
        <v>143</v>
      </c>
      <c r="F190" s="67" t="s">
        <v>145</v>
      </c>
      <c r="G190" s="82" t="str">
        <f>IF(I36="","",I36)</f>
        <v/>
      </c>
      <c r="H190" s="87" t="str">
        <f t="shared" si="19"/>
        <v/>
      </c>
    </row>
    <row r="191" spans="2:8" ht="13.8">
      <c r="B191" s="90" t="s">
        <v>14</v>
      </c>
      <c r="C191" s="90" t="s">
        <v>137</v>
      </c>
      <c r="D191" s="66" t="s">
        <v>142</v>
      </c>
      <c r="E191" s="82" t="s">
        <v>144</v>
      </c>
      <c r="F191" s="67" t="s">
        <v>146</v>
      </c>
      <c r="G191" s="82" t="str">
        <f>IF(I37="","",I37)</f>
        <v/>
      </c>
      <c r="H191" s="87" t="str">
        <f t="shared" si="19"/>
        <v/>
      </c>
    </row>
    <row r="192" spans="2:8" ht="13.8">
      <c r="B192" s="90" t="s">
        <v>14</v>
      </c>
      <c r="C192" s="90" t="s">
        <v>137</v>
      </c>
      <c r="D192" s="66" t="s">
        <v>142</v>
      </c>
      <c r="E192" s="82" t="s">
        <v>144</v>
      </c>
      <c r="F192" s="67" t="s">
        <v>145</v>
      </c>
      <c r="G192" s="82" t="str">
        <f>IF(I38="","",I38)</f>
        <v/>
      </c>
      <c r="H192" s="87" t="str">
        <f t="shared" si="19"/>
        <v/>
      </c>
    </row>
    <row r="193" spans="2:8" ht="13.8">
      <c r="B193" s="90" t="s">
        <v>14</v>
      </c>
      <c r="C193" s="90" t="s">
        <v>138</v>
      </c>
      <c r="D193" s="66" t="s">
        <v>140</v>
      </c>
      <c r="E193" s="82" t="s">
        <v>143</v>
      </c>
      <c r="F193" s="67" t="s">
        <v>146</v>
      </c>
      <c r="G193" s="82" t="str">
        <f>IF(I39="","",I39)</f>
        <v/>
      </c>
      <c r="H193" s="87" t="str">
        <f t="shared" si="19"/>
        <v/>
      </c>
    </row>
    <row r="194" spans="2:8" ht="13.8">
      <c r="B194" s="90" t="s">
        <v>14</v>
      </c>
      <c r="C194" s="90" t="s">
        <v>138</v>
      </c>
      <c r="D194" s="66" t="s">
        <v>140</v>
      </c>
      <c r="E194" s="82" t="s">
        <v>143</v>
      </c>
      <c r="F194" s="67" t="s">
        <v>145</v>
      </c>
      <c r="G194" s="82" t="str">
        <f>IF(I40="","",I40)</f>
        <v/>
      </c>
      <c r="H194" s="87" t="str">
        <f t="shared" si="19"/>
        <v/>
      </c>
    </row>
    <row r="195" spans="2:8" ht="13.8">
      <c r="B195" s="90" t="s">
        <v>14</v>
      </c>
      <c r="C195" s="90" t="s">
        <v>138</v>
      </c>
      <c r="D195" s="66" t="s">
        <v>140</v>
      </c>
      <c r="E195" s="82" t="s">
        <v>144</v>
      </c>
      <c r="F195" s="67" t="s">
        <v>146</v>
      </c>
      <c r="G195" s="82" t="str">
        <f>IF(I41="","",I41)</f>
        <v/>
      </c>
      <c r="H195" s="87" t="str">
        <f t="shared" si="19"/>
        <v/>
      </c>
    </row>
    <row r="196" spans="2:8" ht="13.8">
      <c r="B196" s="90" t="s">
        <v>14</v>
      </c>
      <c r="C196" s="90" t="s">
        <v>138</v>
      </c>
      <c r="D196" s="66" t="s">
        <v>140</v>
      </c>
      <c r="E196" s="84" t="s">
        <v>144</v>
      </c>
      <c r="F196" s="68" t="s">
        <v>145</v>
      </c>
      <c r="G196" s="82" t="str">
        <f>IF(I42="","",I42)</f>
        <v/>
      </c>
      <c r="H196" s="87" t="str">
        <f t="shared" si="19"/>
        <v/>
      </c>
    </row>
    <row r="197" spans="2:8" ht="13.8">
      <c r="B197" s="90" t="s">
        <v>14</v>
      </c>
      <c r="C197" s="90" t="s">
        <v>138</v>
      </c>
      <c r="D197" s="69" t="s">
        <v>141</v>
      </c>
      <c r="E197" s="84" t="s">
        <v>143</v>
      </c>
      <c r="F197" s="67" t="s">
        <v>146</v>
      </c>
      <c r="G197" s="82" t="str">
        <f>IF(I43="","",I43)</f>
        <v/>
      </c>
      <c r="H197" s="87" t="str">
        <f t="shared" si="19"/>
        <v/>
      </c>
    </row>
    <row r="198" spans="2:8" ht="13.8">
      <c r="B198" s="91" t="s">
        <v>14</v>
      </c>
      <c r="C198" s="91" t="s">
        <v>138</v>
      </c>
      <c r="D198" s="70" t="s">
        <v>141</v>
      </c>
      <c r="E198" s="85" t="s">
        <v>143</v>
      </c>
      <c r="F198" s="70" t="s">
        <v>145</v>
      </c>
      <c r="G198" s="82" t="str">
        <f>IF(I44="","",I44)</f>
        <v/>
      </c>
      <c r="H198" s="87" t="str">
        <f t="shared" si="19"/>
        <v/>
      </c>
    </row>
    <row r="199" spans="2:8" ht="13.8">
      <c r="B199" s="86" t="s">
        <v>14</v>
      </c>
      <c r="C199" s="86" t="s">
        <v>138</v>
      </c>
      <c r="D199" s="74" t="s">
        <v>141</v>
      </c>
      <c r="E199" s="86" t="s">
        <v>144</v>
      </c>
      <c r="F199" s="73" t="s">
        <v>146</v>
      </c>
      <c r="G199" s="82" t="str">
        <f>IF(I45="","",I45)</f>
        <v/>
      </c>
      <c r="H199" s="87" t="str">
        <f t="shared" si="19"/>
        <v/>
      </c>
    </row>
    <row r="200" spans="2:8" ht="13.8">
      <c r="B200" s="86" t="s">
        <v>14</v>
      </c>
      <c r="C200" s="86" t="s">
        <v>138</v>
      </c>
      <c r="D200" s="74" t="s">
        <v>141</v>
      </c>
      <c r="E200" s="86" t="s">
        <v>144</v>
      </c>
      <c r="F200" s="73" t="s">
        <v>145</v>
      </c>
      <c r="G200" s="82" t="str">
        <f>IF(I46="","",I46)</f>
        <v/>
      </c>
      <c r="H200" s="87" t="str">
        <f t="shared" si="19"/>
        <v/>
      </c>
    </row>
    <row r="201" spans="2:8" ht="13.8">
      <c r="B201" s="86" t="s">
        <v>14</v>
      </c>
      <c r="C201" s="86" t="s">
        <v>138</v>
      </c>
      <c r="D201" s="74" t="s">
        <v>142</v>
      </c>
      <c r="E201" s="86" t="s">
        <v>143</v>
      </c>
      <c r="F201" s="73" t="s">
        <v>146</v>
      </c>
      <c r="G201" s="82" t="str">
        <f>IF(I47="","",I47)</f>
        <v/>
      </c>
      <c r="H201" s="87" t="str">
        <f t="shared" ref="H201:H264" si="20">IF(G201="","",CONCATENATE(C201,"_",D201,"_",E201,"_",F201))</f>
        <v/>
      </c>
    </row>
    <row r="202" spans="2:8" ht="13.8">
      <c r="B202" s="86" t="s">
        <v>14</v>
      </c>
      <c r="C202" s="86" t="s">
        <v>138</v>
      </c>
      <c r="D202" s="74" t="s">
        <v>142</v>
      </c>
      <c r="E202" s="86" t="s">
        <v>143</v>
      </c>
      <c r="F202" s="73" t="s">
        <v>145</v>
      </c>
      <c r="G202" s="82" t="str">
        <f>IF(I48="","",I48)</f>
        <v/>
      </c>
      <c r="H202" s="87" t="str">
        <f t="shared" si="20"/>
        <v/>
      </c>
    </row>
    <row r="203" spans="2:8" ht="13.8">
      <c r="B203" s="86" t="s">
        <v>14</v>
      </c>
      <c r="C203" s="86" t="s">
        <v>138</v>
      </c>
      <c r="D203" s="74" t="s">
        <v>142</v>
      </c>
      <c r="E203" s="86" t="s">
        <v>144</v>
      </c>
      <c r="F203" s="73" t="s">
        <v>146</v>
      </c>
      <c r="G203" s="82" t="str">
        <f>IF(I49="","",I49)</f>
        <v/>
      </c>
      <c r="H203" s="87" t="str">
        <f t="shared" si="20"/>
        <v/>
      </c>
    </row>
    <row r="204" spans="2:8" ht="13.8">
      <c r="B204" s="86" t="s">
        <v>14</v>
      </c>
      <c r="C204" s="86" t="s">
        <v>138</v>
      </c>
      <c r="D204" s="74" t="s">
        <v>142</v>
      </c>
      <c r="E204" s="86" t="s">
        <v>144</v>
      </c>
      <c r="F204" s="73" t="s">
        <v>145</v>
      </c>
      <c r="G204" s="82" t="str">
        <f>IF(I50="","",I50)</f>
        <v/>
      </c>
      <c r="H204" s="87" t="str">
        <f t="shared" si="20"/>
        <v/>
      </c>
    </row>
    <row r="205" spans="2:8" ht="13.8">
      <c r="B205" s="86" t="s">
        <v>14</v>
      </c>
      <c r="C205" s="86" t="s">
        <v>139</v>
      </c>
      <c r="D205" s="74" t="s">
        <v>140</v>
      </c>
      <c r="E205" s="86" t="s">
        <v>143</v>
      </c>
      <c r="F205" s="73" t="s">
        <v>146</v>
      </c>
      <c r="G205" s="82" t="str">
        <f>IF(I51="","",I51)</f>
        <v/>
      </c>
      <c r="H205" s="87" t="str">
        <f t="shared" si="20"/>
        <v/>
      </c>
    </row>
    <row r="206" spans="2:8" ht="13.8">
      <c r="B206" s="86" t="s">
        <v>14</v>
      </c>
      <c r="C206" s="86" t="s">
        <v>139</v>
      </c>
      <c r="D206" s="74" t="s">
        <v>140</v>
      </c>
      <c r="E206" s="86" t="s">
        <v>143</v>
      </c>
      <c r="F206" s="73" t="s">
        <v>145</v>
      </c>
      <c r="G206" s="82" t="str">
        <f>IF(I52="","",I52)</f>
        <v/>
      </c>
      <c r="H206" s="87" t="str">
        <f t="shared" si="20"/>
        <v/>
      </c>
    </row>
    <row r="207" spans="2:8" ht="13.8">
      <c r="B207" s="86" t="s">
        <v>14</v>
      </c>
      <c r="C207" s="86" t="s">
        <v>139</v>
      </c>
      <c r="D207" s="74" t="s">
        <v>140</v>
      </c>
      <c r="E207" s="86" t="s">
        <v>144</v>
      </c>
      <c r="F207" s="73" t="s">
        <v>146</v>
      </c>
      <c r="G207" s="82" t="str">
        <f>IF(I53="","",I53)</f>
        <v/>
      </c>
      <c r="H207" s="87" t="str">
        <f t="shared" si="20"/>
        <v/>
      </c>
    </row>
    <row r="208" spans="2:8" ht="13.8">
      <c r="B208" s="86" t="s">
        <v>14</v>
      </c>
      <c r="C208" s="86" t="s">
        <v>139</v>
      </c>
      <c r="D208" s="74" t="s">
        <v>140</v>
      </c>
      <c r="E208" s="86" t="s">
        <v>144</v>
      </c>
      <c r="F208" s="73" t="s">
        <v>145</v>
      </c>
      <c r="G208" s="82" t="str">
        <f>IF(I54="","",I54)</f>
        <v/>
      </c>
      <c r="H208" s="87" t="str">
        <f t="shared" si="20"/>
        <v/>
      </c>
    </row>
    <row r="209" spans="2:8" ht="13.8">
      <c r="B209" s="86" t="s">
        <v>14</v>
      </c>
      <c r="C209" s="86" t="s">
        <v>139</v>
      </c>
      <c r="D209" s="74" t="s">
        <v>141</v>
      </c>
      <c r="E209" s="86" t="s">
        <v>143</v>
      </c>
      <c r="F209" s="69" t="s">
        <v>146</v>
      </c>
      <c r="G209" s="82" t="str">
        <f>IF(I55="","",I55)</f>
        <v/>
      </c>
      <c r="H209" s="87" t="str">
        <f t="shared" si="20"/>
        <v/>
      </c>
    </row>
    <row r="210" spans="2:8" ht="13.8">
      <c r="B210" s="86" t="s">
        <v>14</v>
      </c>
      <c r="C210" s="86" t="s">
        <v>139</v>
      </c>
      <c r="D210" s="74" t="s">
        <v>141</v>
      </c>
      <c r="E210" s="86" t="s">
        <v>143</v>
      </c>
      <c r="F210" s="69" t="s">
        <v>145</v>
      </c>
      <c r="G210" s="82" t="str">
        <f>IF(I56="","",I56)</f>
        <v/>
      </c>
      <c r="H210" s="87" t="str">
        <f t="shared" si="20"/>
        <v/>
      </c>
    </row>
    <row r="211" spans="2:8" ht="13.8">
      <c r="B211" s="84" t="s">
        <v>14</v>
      </c>
      <c r="C211" s="84" t="s">
        <v>139</v>
      </c>
      <c r="D211" s="67" t="s">
        <v>141</v>
      </c>
      <c r="E211" s="84" t="s">
        <v>144</v>
      </c>
      <c r="F211" s="67" t="s">
        <v>146</v>
      </c>
      <c r="G211" s="82" t="str">
        <f>IF(I57="","",I57)</f>
        <v/>
      </c>
      <c r="H211" s="87" t="str">
        <f t="shared" si="20"/>
        <v/>
      </c>
    </row>
    <row r="212" spans="2:8" ht="13.8">
      <c r="B212" s="87" t="s">
        <v>14</v>
      </c>
      <c r="C212" s="87" t="s">
        <v>139</v>
      </c>
      <c r="D212" s="77" t="s">
        <v>141</v>
      </c>
      <c r="E212" s="87" t="s">
        <v>144</v>
      </c>
      <c r="F212" s="77" t="s">
        <v>145</v>
      </c>
      <c r="G212" s="82" t="str">
        <f>IF(I58="","",I58)</f>
        <v/>
      </c>
      <c r="H212" s="87" t="str">
        <f t="shared" si="20"/>
        <v/>
      </c>
    </row>
    <row r="213" spans="2:8" ht="13.8">
      <c r="B213" s="87" t="s">
        <v>14</v>
      </c>
      <c r="C213" s="87" t="s">
        <v>139</v>
      </c>
      <c r="D213" s="77" t="s">
        <v>142</v>
      </c>
      <c r="E213" s="87" t="s">
        <v>143</v>
      </c>
      <c r="F213" s="77" t="s">
        <v>146</v>
      </c>
      <c r="G213" s="82" t="str">
        <f>IF(I59="","",I59)</f>
        <v/>
      </c>
      <c r="H213" s="87" t="str">
        <f t="shared" si="20"/>
        <v/>
      </c>
    </row>
    <row r="214" spans="2:8" ht="13.8">
      <c r="B214" s="87" t="s">
        <v>14</v>
      </c>
      <c r="C214" s="87" t="s">
        <v>139</v>
      </c>
      <c r="D214" s="77" t="s">
        <v>142</v>
      </c>
      <c r="E214" s="87" t="s">
        <v>143</v>
      </c>
      <c r="F214" s="77" t="s">
        <v>145</v>
      </c>
      <c r="G214" s="82" t="str">
        <f>IF(I60="","",I60)</f>
        <v/>
      </c>
      <c r="H214" s="87" t="str">
        <f t="shared" si="20"/>
        <v/>
      </c>
    </row>
    <row r="215" spans="2:8" ht="13.8">
      <c r="B215" s="87" t="s">
        <v>14</v>
      </c>
      <c r="C215" s="87" t="s">
        <v>139</v>
      </c>
      <c r="D215" s="77" t="s">
        <v>142</v>
      </c>
      <c r="E215" s="87" t="s">
        <v>144</v>
      </c>
      <c r="F215" s="77" t="s">
        <v>146</v>
      </c>
      <c r="G215" s="82" t="str">
        <f>IF(I61="","",I61)</f>
        <v/>
      </c>
      <c r="H215" s="87" t="str">
        <f t="shared" si="20"/>
        <v/>
      </c>
    </row>
    <row r="216" spans="2:8" ht="13.8">
      <c r="B216" s="88" t="s">
        <v>14</v>
      </c>
      <c r="C216" s="88" t="s">
        <v>139</v>
      </c>
      <c r="D216" s="80" t="s">
        <v>142</v>
      </c>
      <c r="E216" s="88" t="s">
        <v>144</v>
      </c>
      <c r="F216" s="80" t="s">
        <v>145</v>
      </c>
      <c r="G216" s="83" t="str">
        <f>IF(I62="","",I62)</f>
        <v/>
      </c>
      <c r="H216" s="88" t="str">
        <f t="shared" si="20"/>
        <v/>
      </c>
    </row>
    <row r="217" spans="2:8" ht="13.8">
      <c r="B217" s="89" t="s">
        <v>15</v>
      </c>
      <c r="C217" s="89" t="s">
        <v>136</v>
      </c>
      <c r="D217" s="79" t="s">
        <v>140</v>
      </c>
      <c r="E217" s="81" t="s">
        <v>143</v>
      </c>
      <c r="F217" s="78" t="s">
        <v>146</v>
      </c>
      <c r="G217" s="82" t="str">
        <f>IF(J15="","",J15)</f>
        <v/>
      </c>
      <c r="H217" s="172" t="str">
        <f t="shared" si="20"/>
        <v/>
      </c>
    </row>
    <row r="218" spans="2:8" ht="13.8">
      <c r="B218" s="90" t="s">
        <v>15</v>
      </c>
      <c r="C218" s="90" t="s">
        <v>136</v>
      </c>
      <c r="D218" s="66" t="s">
        <v>140</v>
      </c>
      <c r="E218" s="82" t="s">
        <v>143</v>
      </c>
      <c r="F218" s="65" t="s">
        <v>145</v>
      </c>
      <c r="G218" s="82" t="str">
        <f>IF(J16="","",J16)</f>
        <v/>
      </c>
      <c r="H218" s="87" t="str">
        <f t="shared" si="20"/>
        <v/>
      </c>
    </row>
    <row r="219" spans="2:8" ht="13.8">
      <c r="B219" s="90" t="s">
        <v>15</v>
      </c>
      <c r="C219" s="90" t="s">
        <v>136</v>
      </c>
      <c r="D219" s="66" t="s">
        <v>140</v>
      </c>
      <c r="E219" s="82" t="s">
        <v>144</v>
      </c>
      <c r="F219" s="65" t="s">
        <v>146</v>
      </c>
      <c r="G219" s="82" t="str">
        <f>IF(J17="","",J17)</f>
        <v/>
      </c>
      <c r="H219" s="87" t="str">
        <f t="shared" si="20"/>
        <v/>
      </c>
    </row>
    <row r="220" spans="2:8" ht="13.8">
      <c r="B220" s="90" t="s">
        <v>15</v>
      </c>
      <c r="C220" s="90" t="s">
        <v>136</v>
      </c>
      <c r="D220" s="66" t="s">
        <v>140</v>
      </c>
      <c r="E220" s="82" t="s">
        <v>144</v>
      </c>
      <c r="F220" s="65" t="s">
        <v>145</v>
      </c>
      <c r="G220" s="82" t="str">
        <f>IF(J18="","",J18)</f>
        <v/>
      </c>
      <c r="H220" s="87" t="str">
        <f t="shared" si="20"/>
        <v/>
      </c>
    </row>
    <row r="221" spans="2:8" ht="13.8">
      <c r="B221" s="90" t="s">
        <v>15</v>
      </c>
      <c r="C221" s="90" t="s">
        <v>136</v>
      </c>
      <c r="D221" s="66" t="s">
        <v>141</v>
      </c>
      <c r="E221" s="82" t="s">
        <v>143</v>
      </c>
      <c r="F221" s="65" t="s">
        <v>146</v>
      </c>
      <c r="G221" s="82" t="str">
        <f>IF(J19="","",J19)</f>
        <v/>
      </c>
      <c r="H221" s="87" t="str">
        <f t="shared" si="20"/>
        <v/>
      </c>
    </row>
    <row r="222" spans="2:8" ht="13.8">
      <c r="B222" s="90" t="s">
        <v>15</v>
      </c>
      <c r="C222" s="90" t="s">
        <v>136</v>
      </c>
      <c r="D222" s="66" t="s">
        <v>141</v>
      </c>
      <c r="E222" s="82" t="s">
        <v>143</v>
      </c>
      <c r="F222" s="65" t="s">
        <v>145</v>
      </c>
      <c r="G222" s="82" t="str">
        <f>IF(J20="","",J20)</f>
        <v/>
      </c>
      <c r="H222" s="87" t="str">
        <f t="shared" si="20"/>
        <v/>
      </c>
    </row>
    <row r="223" spans="2:8" ht="13.8">
      <c r="B223" s="90" t="s">
        <v>15</v>
      </c>
      <c r="C223" s="90" t="s">
        <v>136</v>
      </c>
      <c r="D223" s="66" t="s">
        <v>141</v>
      </c>
      <c r="E223" s="82" t="s">
        <v>144</v>
      </c>
      <c r="F223" s="65" t="s">
        <v>146</v>
      </c>
      <c r="G223" s="82" t="str">
        <f>IF(J21="","",J21)</f>
        <v/>
      </c>
      <c r="H223" s="87" t="str">
        <f t="shared" si="20"/>
        <v/>
      </c>
    </row>
    <row r="224" spans="2:8" ht="13.8">
      <c r="B224" s="90" t="s">
        <v>15</v>
      </c>
      <c r="C224" s="90" t="s">
        <v>136</v>
      </c>
      <c r="D224" s="66" t="s">
        <v>141</v>
      </c>
      <c r="E224" s="82" t="s">
        <v>144</v>
      </c>
      <c r="F224" s="65" t="s">
        <v>145</v>
      </c>
      <c r="G224" s="82" t="str">
        <f>IF(J22="","",J22)</f>
        <v/>
      </c>
      <c r="H224" s="87" t="str">
        <f t="shared" si="20"/>
        <v/>
      </c>
    </row>
    <row r="225" spans="2:8" ht="13.8">
      <c r="B225" s="90" t="s">
        <v>15</v>
      </c>
      <c r="C225" s="90" t="s">
        <v>136</v>
      </c>
      <c r="D225" s="66" t="s">
        <v>142</v>
      </c>
      <c r="E225" s="82" t="s">
        <v>143</v>
      </c>
      <c r="F225" s="65" t="s">
        <v>146</v>
      </c>
      <c r="G225" s="82" t="str">
        <f>IF(J23="","",J23)</f>
        <v/>
      </c>
      <c r="H225" s="87" t="str">
        <f t="shared" si="20"/>
        <v/>
      </c>
    </row>
    <row r="226" spans="2:8" ht="13.8">
      <c r="B226" s="90" t="s">
        <v>15</v>
      </c>
      <c r="C226" s="90" t="s">
        <v>136</v>
      </c>
      <c r="D226" s="66" t="s">
        <v>142</v>
      </c>
      <c r="E226" s="82" t="s">
        <v>143</v>
      </c>
      <c r="F226" s="65" t="s">
        <v>145</v>
      </c>
      <c r="G226" s="82" t="str">
        <f>IF(J24="","",J24)</f>
        <v/>
      </c>
      <c r="H226" s="87" t="str">
        <f t="shared" si="20"/>
        <v/>
      </c>
    </row>
    <row r="227" spans="2:8" ht="13.8">
      <c r="B227" s="90" t="s">
        <v>15</v>
      </c>
      <c r="C227" s="90" t="s">
        <v>136</v>
      </c>
      <c r="D227" s="66" t="s">
        <v>142</v>
      </c>
      <c r="E227" s="82" t="s">
        <v>144</v>
      </c>
      <c r="F227" s="65" t="s">
        <v>146</v>
      </c>
      <c r="G227" s="82" t="str">
        <f>IF(J25="","",J25)</f>
        <v/>
      </c>
      <c r="H227" s="87" t="str">
        <f t="shared" si="20"/>
        <v/>
      </c>
    </row>
    <row r="228" spans="2:8" ht="13.8">
      <c r="B228" s="90" t="s">
        <v>15</v>
      </c>
      <c r="C228" s="90" t="s">
        <v>136</v>
      </c>
      <c r="D228" s="66" t="s">
        <v>142</v>
      </c>
      <c r="E228" s="82" t="s">
        <v>144</v>
      </c>
      <c r="F228" s="65" t="s">
        <v>145</v>
      </c>
      <c r="G228" s="82" t="str">
        <f>IF(J26="","",J26)</f>
        <v/>
      </c>
      <c r="H228" s="87" t="str">
        <f t="shared" si="20"/>
        <v/>
      </c>
    </row>
    <row r="229" spans="2:8" ht="13.8">
      <c r="B229" s="90" t="s">
        <v>15</v>
      </c>
      <c r="C229" s="90" t="s">
        <v>137</v>
      </c>
      <c r="D229" s="66" t="s">
        <v>140</v>
      </c>
      <c r="E229" s="82" t="s">
        <v>143</v>
      </c>
      <c r="F229" s="65" t="s">
        <v>146</v>
      </c>
      <c r="G229" s="82" t="str">
        <f>IF(J27="","",J27)</f>
        <v/>
      </c>
      <c r="H229" s="87" t="str">
        <f t="shared" si="20"/>
        <v/>
      </c>
    </row>
    <row r="230" spans="2:8" ht="13.8">
      <c r="B230" s="90" t="s">
        <v>15</v>
      </c>
      <c r="C230" s="90" t="s">
        <v>137</v>
      </c>
      <c r="D230" s="66" t="s">
        <v>140</v>
      </c>
      <c r="E230" s="82" t="s">
        <v>143</v>
      </c>
      <c r="F230" s="65" t="s">
        <v>145</v>
      </c>
      <c r="G230" s="82" t="str">
        <f>IF(J28="","",J28)</f>
        <v/>
      </c>
      <c r="H230" s="87" t="str">
        <f t="shared" si="20"/>
        <v/>
      </c>
    </row>
    <row r="231" spans="2:8" ht="13.8">
      <c r="B231" s="90" t="s">
        <v>15</v>
      </c>
      <c r="C231" s="90" t="s">
        <v>137</v>
      </c>
      <c r="D231" s="66" t="s">
        <v>140</v>
      </c>
      <c r="E231" s="82" t="s">
        <v>144</v>
      </c>
      <c r="F231" s="65" t="s">
        <v>146</v>
      </c>
      <c r="G231" s="82" t="str">
        <f>IF(J29="","",J29)</f>
        <v/>
      </c>
      <c r="H231" s="87" t="str">
        <f t="shared" si="20"/>
        <v/>
      </c>
    </row>
    <row r="232" spans="2:8" ht="13.8">
      <c r="B232" s="90" t="s">
        <v>15</v>
      </c>
      <c r="C232" s="90" t="s">
        <v>137</v>
      </c>
      <c r="D232" s="66" t="s">
        <v>140</v>
      </c>
      <c r="E232" s="82" t="s">
        <v>144</v>
      </c>
      <c r="F232" s="65" t="s">
        <v>145</v>
      </c>
      <c r="G232" s="82" t="str">
        <f>IF(J30="","",J30)</f>
        <v/>
      </c>
      <c r="H232" s="87" t="str">
        <f t="shared" si="20"/>
        <v/>
      </c>
    </row>
    <row r="233" spans="2:8" ht="13.8">
      <c r="B233" s="90" t="s">
        <v>15</v>
      </c>
      <c r="C233" s="90" t="s">
        <v>137</v>
      </c>
      <c r="D233" s="66" t="s">
        <v>141</v>
      </c>
      <c r="E233" s="82" t="s">
        <v>143</v>
      </c>
      <c r="F233" s="65" t="s">
        <v>146</v>
      </c>
      <c r="G233" s="82" t="str">
        <f>IF(J31="","",J31)</f>
        <v/>
      </c>
      <c r="H233" s="87" t="str">
        <f t="shared" si="20"/>
        <v/>
      </c>
    </row>
    <row r="234" spans="2:8" ht="13.8">
      <c r="B234" s="90" t="s">
        <v>15</v>
      </c>
      <c r="C234" s="90" t="s">
        <v>137</v>
      </c>
      <c r="D234" s="66" t="s">
        <v>141</v>
      </c>
      <c r="E234" s="82" t="s">
        <v>143</v>
      </c>
      <c r="F234" s="65" t="s">
        <v>145</v>
      </c>
      <c r="G234" s="82" t="str">
        <f>IF(J32="","",J32)</f>
        <v/>
      </c>
      <c r="H234" s="87" t="str">
        <f t="shared" si="20"/>
        <v/>
      </c>
    </row>
    <row r="235" spans="2:8" ht="13.8">
      <c r="B235" s="90" t="s">
        <v>15</v>
      </c>
      <c r="C235" s="90" t="s">
        <v>137</v>
      </c>
      <c r="D235" s="66" t="s">
        <v>141</v>
      </c>
      <c r="E235" s="82" t="s">
        <v>144</v>
      </c>
      <c r="F235" s="65" t="s">
        <v>146</v>
      </c>
      <c r="G235" s="82" t="str">
        <f>IF(J33="","",J33)</f>
        <v/>
      </c>
      <c r="H235" s="87" t="str">
        <f t="shared" si="20"/>
        <v/>
      </c>
    </row>
    <row r="236" spans="2:8" ht="13.8">
      <c r="B236" s="90" t="s">
        <v>15</v>
      </c>
      <c r="C236" s="90" t="s">
        <v>137</v>
      </c>
      <c r="D236" s="66" t="s">
        <v>141</v>
      </c>
      <c r="E236" s="82" t="s">
        <v>144</v>
      </c>
      <c r="F236" s="67" t="s">
        <v>145</v>
      </c>
      <c r="G236" s="82" t="str">
        <f>IF(J34="","",J34)</f>
        <v/>
      </c>
      <c r="H236" s="87" t="str">
        <f t="shared" si="20"/>
        <v/>
      </c>
    </row>
    <row r="237" spans="2:8" ht="13.8">
      <c r="B237" s="90" t="s">
        <v>15</v>
      </c>
      <c r="C237" s="90" t="s">
        <v>137</v>
      </c>
      <c r="D237" s="66" t="s">
        <v>142</v>
      </c>
      <c r="E237" s="82" t="s">
        <v>143</v>
      </c>
      <c r="F237" s="67" t="s">
        <v>146</v>
      </c>
      <c r="G237" s="82" t="str">
        <f>IF(J35="","",J35)</f>
        <v/>
      </c>
      <c r="H237" s="87" t="str">
        <f t="shared" si="20"/>
        <v/>
      </c>
    </row>
    <row r="238" spans="2:8" ht="13.8">
      <c r="B238" s="90" t="s">
        <v>15</v>
      </c>
      <c r="C238" s="90" t="s">
        <v>137</v>
      </c>
      <c r="D238" s="66" t="s">
        <v>142</v>
      </c>
      <c r="E238" s="82" t="s">
        <v>143</v>
      </c>
      <c r="F238" s="67" t="s">
        <v>145</v>
      </c>
      <c r="G238" s="82" t="str">
        <f>IF(J36="","",J36)</f>
        <v/>
      </c>
      <c r="H238" s="87" t="str">
        <f t="shared" si="20"/>
        <v/>
      </c>
    </row>
    <row r="239" spans="2:8" ht="13.8">
      <c r="B239" s="90" t="s">
        <v>15</v>
      </c>
      <c r="C239" s="90" t="s">
        <v>137</v>
      </c>
      <c r="D239" s="66" t="s">
        <v>142</v>
      </c>
      <c r="E239" s="82" t="s">
        <v>144</v>
      </c>
      <c r="F239" s="67" t="s">
        <v>146</v>
      </c>
      <c r="G239" s="82" t="str">
        <f>IF(J37="","",J37)</f>
        <v/>
      </c>
      <c r="H239" s="87" t="str">
        <f t="shared" si="20"/>
        <v/>
      </c>
    </row>
    <row r="240" spans="2:8" ht="13.8">
      <c r="B240" s="90" t="s">
        <v>15</v>
      </c>
      <c r="C240" s="90" t="s">
        <v>137</v>
      </c>
      <c r="D240" s="66" t="s">
        <v>142</v>
      </c>
      <c r="E240" s="82" t="s">
        <v>144</v>
      </c>
      <c r="F240" s="67" t="s">
        <v>145</v>
      </c>
      <c r="G240" s="82" t="str">
        <f>IF(J38="","",J38)</f>
        <v/>
      </c>
      <c r="H240" s="87" t="str">
        <f t="shared" si="20"/>
        <v/>
      </c>
    </row>
    <row r="241" spans="2:8" ht="13.8">
      <c r="B241" s="90" t="s">
        <v>15</v>
      </c>
      <c r="C241" s="90" t="s">
        <v>138</v>
      </c>
      <c r="D241" s="66" t="s">
        <v>140</v>
      </c>
      <c r="E241" s="82" t="s">
        <v>143</v>
      </c>
      <c r="F241" s="67" t="s">
        <v>146</v>
      </c>
      <c r="G241" s="82" t="str">
        <f>IF(J39="","",J39)</f>
        <v/>
      </c>
      <c r="H241" s="87" t="str">
        <f t="shared" si="20"/>
        <v/>
      </c>
    </row>
    <row r="242" spans="2:8" ht="13.8">
      <c r="B242" s="90" t="s">
        <v>15</v>
      </c>
      <c r="C242" s="90" t="s">
        <v>138</v>
      </c>
      <c r="D242" s="66" t="s">
        <v>140</v>
      </c>
      <c r="E242" s="82" t="s">
        <v>143</v>
      </c>
      <c r="F242" s="67" t="s">
        <v>145</v>
      </c>
      <c r="G242" s="82" t="str">
        <f>IF(J40="","",J40)</f>
        <v/>
      </c>
      <c r="H242" s="87" t="str">
        <f t="shared" si="20"/>
        <v/>
      </c>
    </row>
    <row r="243" spans="2:8" ht="13.8">
      <c r="B243" s="90" t="s">
        <v>15</v>
      </c>
      <c r="C243" s="90" t="s">
        <v>138</v>
      </c>
      <c r="D243" s="66" t="s">
        <v>140</v>
      </c>
      <c r="E243" s="82" t="s">
        <v>144</v>
      </c>
      <c r="F243" s="67" t="s">
        <v>146</v>
      </c>
      <c r="G243" s="82" t="str">
        <f>IF(J41="","",J41)</f>
        <v/>
      </c>
      <c r="H243" s="87" t="str">
        <f t="shared" si="20"/>
        <v/>
      </c>
    </row>
    <row r="244" spans="2:8" ht="13.8">
      <c r="B244" s="90" t="s">
        <v>15</v>
      </c>
      <c r="C244" s="90" t="s">
        <v>138</v>
      </c>
      <c r="D244" s="66" t="s">
        <v>140</v>
      </c>
      <c r="E244" s="84" t="s">
        <v>144</v>
      </c>
      <c r="F244" s="68" t="s">
        <v>145</v>
      </c>
      <c r="G244" s="82" t="str">
        <f>IF(J42="","",J42)</f>
        <v/>
      </c>
      <c r="H244" s="87" t="str">
        <f t="shared" si="20"/>
        <v/>
      </c>
    </row>
    <row r="245" spans="2:8" ht="13.8">
      <c r="B245" s="90" t="s">
        <v>15</v>
      </c>
      <c r="C245" s="90" t="s">
        <v>138</v>
      </c>
      <c r="D245" s="69" t="s">
        <v>141</v>
      </c>
      <c r="E245" s="84" t="s">
        <v>143</v>
      </c>
      <c r="F245" s="67" t="s">
        <v>146</v>
      </c>
      <c r="G245" s="82" t="str">
        <f>IF(J43="","",J43)</f>
        <v/>
      </c>
      <c r="H245" s="87" t="str">
        <f t="shared" si="20"/>
        <v/>
      </c>
    </row>
    <row r="246" spans="2:8" ht="13.8">
      <c r="B246" s="91" t="s">
        <v>15</v>
      </c>
      <c r="C246" s="91" t="s">
        <v>138</v>
      </c>
      <c r="D246" s="70" t="s">
        <v>141</v>
      </c>
      <c r="E246" s="85" t="s">
        <v>143</v>
      </c>
      <c r="F246" s="70" t="s">
        <v>145</v>
      </c>
      <c r="G246" s="82" t="str">
        <f>IF(J44="","",J44)</f>
        <v/>
      </c>
      <c r="H246" s="87" t="str">
        <f t="shared" si="20"/>
        <v/>
      </c>
    </row>
    <row r="247" spans="2:8" ht="13.8">
      <c r="B247" s="86" t="s">
        <v>15</v>
      </c>
      <c r="C247" s="86" t="s">
        <v>138</v>
      </c>
      <c r="D247" s="74" t="s">
        <v>141</v>
      </c>
      <c r="E247" s="86" t="s">
        <v>144</v>
      </c>
      <c r="F247" s="73" t="s">
        <v>146</v>
      </c>
      <c r="G247" s="82" t="str">
        <f>IF(J45="","",J45)</f>
        <v/>
      </c>
      <c r="H247" s="87" t="str">
        <f t="shared" si="20"/>
        <v/>
      </c>
    </row>
    <row r="248" spans="2:8" ht="13.8">
      <c r="B248" s="86" t="s">
        <v>15</v>
      </c>
      <c r="C248" s="86" t="s">
        <v>138</v>
      </c>
      <c r="D248" s="74" t="s">
        <v>141</v>
      </c>
      <c r="E248" s="86" t="s">
        <v>144</v>
      </c>
      <c r="F248" s="73" t="s">
        <v>145</v>
      </c>
      <c r="G248" s="82" t="str">
        <f>IF(J46="","",J46)</f>
        <v/>
      </c>
      <c r="H248" s="87" t="str">
        <f t="shared" si="20"/>
        <v/>
      </c>
    </row>
    <row r="249" spans="2:8" ht="13.8">
      <c r="B249" s="86" t="s">
        <v>15</v>
      </c>
      <c r="C249" s="86" t="s">
        <v>138</v>
      </c>
      <c r="D249" s="74" t="s">
        <v>142</v>
      </c>
      <c r="E249" s="86" t="s">
        <v>143</v>
      </c>
      <c r="F249" s="73" t="s">
        <v>146</v>
      </c>
      <c r="G249" s="82" t="str">
        <f>IF(J47="","",J47)</f>
        <v/>
      </c>
      <c r="H249" s="87" t="str">
        <f t="shared" si="20"/>
        <v/>
      </c>
    </row>
    <row r="250" spans="2:8" ht="13.8">
      <c r="B250" s="86" t="s">
        <v>15</v>
      </c>
      <c r="C250" s="86" t="s">
        <v>138</v>
      </c>
      <c r="D250" s="74" t="s">
        <v>142</v>
      </c>
      <c r="E250" s="86" t="s">
        <v>143</v>
      </c>
      <c r="F250" s="73" t="s">
        <v>145</v>
      </c>
      <c r="G250" s="82" t="str">
        <f>IF(J48="","",J48)</f>
        <v/>
      </c>
      <c r="H250" s="87" t="str">
        <f t="shared" si="20"/>
        <v/>
      </c>
    </row>
    <row r="251" spans="2:8" ht="13.8">
      <c r="B251" s="86" t="s">
        <v>15</v>
      </c>
      <c r="C251" s="86" t="s">
        <v>138</v>
      </c>
      <c r="D251" s="74" t="s">
        <v>142</v>
      </c>
      <c r="E251" s="86" t="s">
        <v>144</v>
      </c>
      <c r="F251" s="73" t="s">
        <v>146</v>
      </c>
      <c r="G251" s="82" t="str">
        <f>IF(J49="","",J49)</f>
        <v/>
      </c>
      <c r="H251" s="87" t="str">
        <f t="shared" si="20"/>
        <v/>
      </c>
    </row>
    <row r="252" spans="2:8" ht="13.8">
      <c r="B252" s="86" t="s">
        <v>15</v>
      </c>
      <c r="C252" s="86" t="s">
        <v>138</v>
      </c>
      <c r="D252" s="74" t="s">
        <v>142</v>
      </c>
      <c r="E252" s="86" t="s">
        <v>144</v>
      </c>
      <c r="F252" s="73" t="s">
        <v>145</v>
      </c>
      <c r="G252" s="82" t="str">
        <f>IF(J50="","",J50)</f>
        <v/>
      </c>
      <c r="H252" s="87" t="str">
        <f t="shared" si="20"/>
        <v/>
      </c>
    </row>
    <row r="253" spans="2:8" ht="13.8">
      <c r="B253" s="86" t="s">
        <v>15</v>
      </c>
      <c r="C253" s="86" t="s">
        <v>139</v>
      </c>
      <c r="D253" s="74" t="s">
        <v>140</v>
      </c>
      <c r="E253" s="86" t="s">
        <v>143</v>
      </c>
      <c r="F253" s="73" t="s">
        <v>146</v>
      </c>
      <c r="G253" s="82" t="str">
        <f>IF(J51="","",J51)</f>
        <v/>
      </c>
      <c r="H253" s="87" t="str">
        <f t="shared" si="20"/>
        <v/>
      </c>
    </row>
    <row r="254" spans="2:8" ht="13.8">
      <c r="B254" s="86" t="s">
        <v>15</v>
      </c>
      <c r="C254" s="86" t="s">
        <v>139</v>
      </c>
      <c r="D254" s="74" t="s">
        <v>140</v>
      </c>
      <c r="E254" s="86" t="s">
        <v>143</v>
      </c>
      <c r="F254" s="73" t="s">
        <v>145</v>
      </c>
      <c r="G254" s="82" t="str">
        <f>IF(J52="","",J52)</f>
        <v/>
      </c>
      <c r="H254" s="87" t="str">
        <f t="shared" si="20"/>
        <v/>
      </c>
    </row>
    <row r="255" spans="2:8" ht="13.8">
      <c r="B255" s="86" t="s">
        <v>15</v>
      </c>
      <c r="C255" s="86" t="s">
        <v>139</v>
      </c>
      <c r="D255" s="74" t="s">
        <v>140</v>
      </c>
      <c r="E255" s="86" t="s">
        <v>144</v>
      </c>
      <c r="F255" s="73" t="s">
        <v>146</v>
      </c>
      <c r="G255" s="82" t="str">
        <f>IF(J53="","",J53)</f>
        <v/>
      </c>
      <c r="H255" s="87" t="str">
        <f t="shared" si="20"/>
        <v/>
      </c>
    </row>
    <row r="256" spans="2:8" ht="13.8">
      <c r="B256" s="86" t="s">
        <v>15</v>
      </c>
      <c r="C256" s="86" t="s">
        <v>139</v>
      </c>
      <c r="D256" s="74" t="s">
        <v>140</v>
      </c>
      <c r="E256" s="86" t="s">
        <v>144</v>
      </c>
      <c r="F256" s="73" t="s">
        <v>145</v>
      </c>
      <c r="G256" s="82" t="str">
        <f>IF(J54="","",J54)</f>
        <v/>
      </c>
      <c r="H256" s="87" t="str">
        <f t="shared" si="20"/>
        <v/>
      </c>
    </row>
    <row r="257" spans="2:8" ht="13.8">
      <c r="B257" s="86" t="s">
        <v>15</v>
      </c>
      <c r="C257" s="86" t="s">
        <v>139</v>
      </c>
      <c r="D257" s="74" t="s">
        <v>141</v>
      </c>
      <c r="E257" s="86" t="s">
        <v>143</v>
      </c>
      <c r="F257" s="69" t="s">
        <v>146</v>
      </c>
      <c r="G257" s="82" t="str">
        <f>IF(J55="","",J55)</f>
        <v/>
      </c>
      <c r="H257" s="87" t="str">
        <f t="shared" si="20"/>
        <v/>
      </c>
    </row>
    <row r="258" spans="2:8" ht="13.8">
      <c r="B258" s="86" t="s">
        <v>15</v>
      </c>
      <c r="C258" s="86" t="s">
        <v>139</v>
      </c>
      <c r="D258" s="74" t="s">
        <v>141</v>
      </c>
      <c r="E258" s="86" t="s">
        <v>143</v>
      </c>
      <c r="F258" s="69" t="s">
        <v>145</v>
      </c>
      <c r="G258" s="82" t="str">
        <f>IF(J56="","",J56)</f>
        <v/>
      </c>
      <c r="H258" s="87" t="str">
        <f t="shared" si="20"/>
        <v/>
      </c>
    </row>
    <row r="259" spans="2:8" ht="13.8">
      <c r="B259" s="84" t="s">
        <v>15</v>
      </c>
      <c r="C259" s="84" t="s">
        <v>139</v>
      </c>
      <c r="D259" s="67" t="s">
        <v>141</v>
      </c>
      <c r="E259" s="84" t="s">
        <v>144</v>
      </c>
      <c r="F259" s="67" t="s">
        <v>146</v>
      </c>
      <c r="G259" s="82" t="str">
        <f>IF(J57="","",J57)</f>
        <v/>
      </c>
      <c r="H259" s="87" t="str">
        <f t="shared" si="20"/>
        <v/>
      </c>
    </row>
    <row r="260" spans="2:8" ht="13.8">
      <c r="B260" s="87" t="s">
        <v>15</v>
      </c>
      <c r="C260" s="87" t="s">
        <v>139</v>
      </c>
      <c r="D260" s="77" t="s">
        <v>141</v>
      </c>
      <c r="E260" s="87" t="s">
        <v>144</v>
      </c>
      <c r="F260" s="77" t="s">
        <v>145</v>
      </c>
      <c r="G260" s="82" t="str">
        <f>IF(J58="","",J58)</f>
        <v/>
      </c>
      <c r="H260" s="87" t="str">
        <f t="shared" si="20"/>
        <v/>
      </c>
    </row>
    <row r="261" spans="2:8" ht="13.8">
      <c r="B261" s="87" t="s">
        <v>15</v>
      </c>
      <c r="C261" s="87" t="s">
        <v>139</v>
      </c>
      <c r="D261" s="77" t="s">
        <v>142</v>
      </c>
      <c r="E261" s="87" t="s">
        <v>143</v>
      </c>
      <c r="F261" s="77" t="s">
        <v>146</v>
      </c>
      <c r="G261" s="82" t="str">
        <f>IF(J59="","",J59)</f>
        <v/>
      </c>
      <c r="H261" s="87" t="str">
        <f t="shared" si="20"/>
        <v/>
      </c>
    </row>
    <row r="262" spans="2:8" ht="13.8">
      <c r="B262" s="87" t="s">
        <v>15</v>
      </c>
      <c r="C262" s="87" t="s">
        <v>139</v>
      </c>
      <c r="D262" s="77" t="s">
        <v>142</v>
      </c>
      <c r="E262" s="87" t="s">
        <v>143</v>
      </c>
      <c r="F262" s="77" t="s">
        <v>145</v>
      </c>
      <c r="G262" s="82" t="str">
        <f>IF(J60="","",J60)</f>
        <v/>
      </c>
      <c r="H262" s="87" t="str">
        <f t="shared" si="20"/>
        <v/>
      </c>
    </row>
    <row r="263" spans="2:8" ht="13.8">
      <c r="B263" s="87" t="s">
        <v>15</v>
      </c>
      <c r="C263" s="87" t="s">
        <v>139</v>
      </c>
      <c r="D263" s="77" t="s">
        <v>142</v>
      </c>
      <c r="E263" s="87" t="s">
        <v>144</v>
      </c>
      <c r="F263" s="77" t="s">
        <v>146</v>
      </c>
      <c r="G263" s="82" t="str">
        <f>IF(J61="","",J61)</f>
        <v/>
      </c>
      <c r="H263" s="87" t="str">
        <f t="shared" si="20"/>
        <v/>
      </c>
    </row>
    <row r="264" spans="2:8" ht="13.8">
      <c r="B264" s="88" t="s">
        <v>15</v>
      </c>
      <c r="C264" s="88" t="s">
        <v>139</v>
      </c>
      <c r="D264" s="80" t="s">
        <v>142</v>
      </c>
      <c r="E264" s="88" t="s">
        <v>144</v>
      </c>
      <c r="F264" s="80" t="s">
        <v>145</v>
      </c>
      <c r="G264" s="83" t="str">
        <f>IF(J62="","",J62)</f>
        <v/>
      </c>
      <c r="H264" s="88" t="str">
        <f t="shared" si="20"/>
        <v/>
      </c>
    </row>
    <row r="265" spans="2:8" ht="13.8">
      <c r="B265" s="89" t="s">
        <v>16</v>
      </c>
      <c r="C265" s="89" t="s">
        <v>136</v>
      </c>
      <c r="D265" s="79" t="s">
        <v>140</v>
      </c>
      <c r="E265" s="81" t="s">
        <v>143</v>
      </c>
      <c r="F265" s="78" t="s">
        <v>146</v>
      </c>
      <c r="G265" s="82" t="str">
        <f>IF(K15="","",K15)</f>
        <v/>
      </c>
      <c r="H265" s="172" t="str">
        <f t="shared" ref="H265:H312" si="21">IF(G265="","",CONCATENATE(C265,"_",D265,"_",E265,"_",F265))</f>
        <v/>
      </c>
    </row>
    <row r="266" spans="2:8" ht="13.8">
      <c r="B266" s="90" t="s">
        <v>16</v>
      </c>
      <c r="C266" s="90" t="s">
        <v>136</v>
      </c>
      <c r="D266" s="66" t="s">
        <v>140</v>
      </c>
      <c r="E266" s="82" t="s">
        <v>143</v>
      </c>
      <c r="F266" s="65" t="s">
        <v>145</v>
      </c>
      <c r="G266" s="82" t="str">
        <f>IF(K16="","",K16)</f>
        <v/>
      </c>
      <c r="H266" s="87" t="str">
        <f t="shared" si="21"/>
        <v/>
      </c>
    </row>
    <row r="267" spans="2:8" ht="13.8">
      <c r="B267" s="90" t="s">
        <v>16</v>
      </c>
      <c r="C267" s="90" t="s">
        <v>136</v>
      </c>
      <c r="D267" s="66" t="s">
        <v>140</v>
      </c>
      <c r="E267" s="82" t="s">
        <v>144</v>
      </c>
      <c r="F267" s="65" t="s">
        <v>146</v>
      </c>
      <c r="G267" s="82" t="str">
        <f>IF(K17="","",K17)</f>
        <v/>
      </c>
      <c r="H267" s="87" t="str">
        <f t="shared" si="21"/>
        <v/>
      </c>
    </row>
    <row r="268" spans="2:8" ht="13.8">
      <c r="B268" s="90" t="s">
        <v>16</v>
      </c>
      <c r="C268" s="90" t="s">
        <v>136</v>
      </c>
      <c r="D268" s="66" t="s">
        <v>140</v>
      </c>
      <c r="E268" s="82" t="s">
        <v>144</v>
      </c>
      <c r="F268" s="65" t="s">
        <v>145</v>
      </c>
      <c r="G268" s="82" t="str">
        <f>IF(K18="","",K18)</f>
        <v/>
      </c>
      <c r="H268" s="87" t="str">
        <f t="shared" si="21"/>
        <v/>
      </c>
    </row>
    <row r="269" spans="2:8" ht="13.8">
      <c r="B269" s="90" t="s">
        <v>16</v>
      </c>
      <c r="C269" s="90" t="s">
        <v>136</v>
      </c>
      <c r="D269" s="66" t="s">
        <v>141</v>
      </c>
      <c r="E269" s="82" t="s">
        <v>143</v>
      </c>
      <c r="F269" s="65" t="s">
        <v>146</v>
      </c>
      <c r="G269" s="82" t="str">
        <f>IF(K19="","",K19)</f>
        <v/>
      </c>
      <c r="H269" s="87" t="str">
        <f t="shared" si="21"/>
        <v/>
      </c>
    </row>
    <row r="270" spans="2:8" ht="13.8">
      <c r="B270" s="90" t="s">
        <v>16</v>
      </c>
      <c r="C270" s="90" t="s">
        <v>136</v>
      </c>
      <c r="D270" s="66" t="s">
        <v>141</v>
      </c>
      <c r="E270" s="82" t="s">
        <v>143</v>
      </c>
      <c r="F270" s="65" t="s">
        <v>145</v>
      </c>
      <c r="G270" s="82" t="str">
        <f>IF(K20="","",K20)</f>
        <v/>
      </c>
      <c r="H270" s="87" t="str">
        <f t="shared" si="21"/>
        <v/>
      </c>
    </row>
    <row r="271" spans="2:8" ht="13.8">
      <c r="B271" s="90" t="s">
        <v>16</v>
      </c>
      <c r="C271" s="90" t="s">
        <v>136</v>
      </c>
      <c r="D271" s="66" t="s">
        <v>141</v>
      </c>
      <c r="E271" s="82" t="s">
        <v>144</v>
      </c>
      <c r="F271" s="65" t="s">
        <v>146</v>
      </c>
      <c r="G271" s="82" t="str">
        <f>IF(K21="","",K21)</f>
        <v/>
      </c>
      <c r="H271" s="87" t="str">
        <f t="shared" si="21"/>
        <v/>
      </c>
    </row>
    <row r="272" spans="2:8" ht="13.8">
      <c r="B272" s="90" t="s">
        <v>16</v>
      </c>
      <c r="C272" s="90" t="s">
        <v>136</v>
      </c>
      <c r="D272" s="66" t="s">
        <v>141</v>
      </c>
      <c r="E272" s="82" t="s">
        <v>144</v>
      </c>
      <c r="F272" s="65" t="s">
        <v>145</v>
      </c>
      <c r="G272" s="82" t="str">
        <f>IF(K22="","",K22)</f>
        <v/>
      </c>
      <c r="H272" s="87" t="str">
        <f t="shared" si="21"/>
        <v/>
      </c>
    </row>
    <row r="273" spans="2:8" ht="13.8">
      <c r="B273" s="90" t="s">
        <v>16</v>
      </c>
      <c r="C273" s="90" t="s">
        <v>136</v>
      </c>
      <c r="D273" s="66" t="s">
        <v>142</v>
      </c>
      <c r="E273" s="82" t="s">
        <v>143</v>
      </c>
      <c r="F273" s="65" t="s">
        <v>146</v>
      </c>
      <c r="G273" s="82" t="str">
        <f>IF(K23="","",K23)</f>
        <v/>
      </c>
      <c r="H273" s="87" t="str">
        <f t="shared" si="21"/>
        <v/>
      </c>
    </row>
    <row r="274" spans="2:8" ht="13.8">
      <c r="B274" s="90" t="s">
        <v>16</v>
      </c>
      <c r="C274" s="90" t="s">
        <v>136</v>
      </c>
      <c r="D274" s="66" t="s">
        <v>142</v>
      </c>
      <c r="E274" s="82" t="s">
        <v>143</v>
      </c>
      <c r="F274" s="65" t="s">
        <v>145</v>
      </c>
      <c r="G274" s="82" t="str">
        <f>IF(K24="","",K24)</f>
        <v/>
      </c>
      <c r="H274" s="87" t="str">
        <f t="shared" si="21"/>
        <v/>
      </c>
    </row>
    <row r="275" spans="2:8" ht="13.8">
      <c r="B275" s="90" t="s">
        <v>16</v>
      </c>
      <c r="C275" s="90" t="s">
        <v>136</v>
      </c>
      <c r="D275" s="66" t="s">
        <v>142</v>
      </c>
      <c r="E275" s="82" t="s">
        <v>144</v>
      </c>
      <c r="F275" s="65" t="s">
        <v>146</v>
      </c>
      <c r="G275" s="82" t="str">
        <f>IF(K25="","",K25)</f>
        <v/>
      </c>
      <c r="H275" s="87" t="str">
        <f t="shared" si="21"/>
        <v/>
      </c>
    </row>
    <row r="276" spans="2:8" ht="13.8">
      <c r="B276" s="90" t="s">
        <v>16</v>
      </c>
      <c r="C276" s="90" t="s">
        <v>136</v>
      </c>
      <c r="D276" s="66" t="s">
        <v>142</v>
      </c>
      <c r="E276" s="82" t="s">
        <v>144</v>
      </c>
      <c r="F276" s="65" t="s">
        <v>145</v>
      </c>
      <c r="G276" s="82" t="str">
        <f>IF(K26="","",K26)</f>
        <v/>
      </c>
      <c r="H276" s="87" t="str">
        <f t="shared" si="21"/>
        <v/>
      </c>
    </row>
    <row r="277" spans="2:8" ht="13.8">
      <c r="B277" s="90" t="s">
        <v>16</v>
      </c>
      <c r="C277" s="90" t="s">
        <v>137</v>
      </c>
      <c r="D277" s="66" t="s">
        <v>140</v>
      </c>
      <c r="E277" s="82" t="s">
        <v>143</v>
      </c>
      <c r="F277" s="65" t="s">
        <v>146</v>
      </c>
      <c r="G277" s="82" t="str">
        <f>IF(K27="","",K27)</f>
        <v/>
      </c>
      <c r="H277" s="87" t="str">
        <f t="shared" si="21"/>
        <v/>
      </c>
    </row>
    <row r="278" spans="2:8" ht="13.8">
      <c r="B278" s="90" t="s">
        <v>16</v>
      </c>
      <c r="C278" s="90" t="s">
        <v>137</v>
      </c>
      <c r="D278" s="66" t="s">
        <v>140</v>
      </c>
      <c r="E278" s="82" t="s">
        <v>143</v>
      </c>
      <c r="F278" s="65" t="s">
        <v>145</v>
      </c>
      <c r="G278" s="82" t="str">
        <f>IF(K28="","",K28)</f>
        <v/>
      </c>
      <c r="H278" s="87" t="str">
        <f t="shared" si="21"/>
        <v/>
      </c>
    </row>
    <row r="279" spans="2:8" ht="13.8">
      <c r="B279" s="90" t="s">
        <v>16</v>
      </c>
      <c r="C279" s="90" t="s">
        <v>137</v>
      </c>
      <c r="D279" s="66" t="s">
        <v>140</v>
      </c>
      <c r="E279" s="82" t="s">
        <v>144</v>
      </c>
      <c r="F279" s="65" t="s">
        <v>146</v>
      </c>
      <c r="G279" s="82" t="str">
        <f>IF(K29="","",K29)</f>
        <v/>
      </c>
      <c r="H279" s="87" t="str">
        <f t="shared" si="21"/>
        <v/>
      </c>
    </row>
    <row r="280" spans="2:8" ht="13.8">
      <c r="B280" s="90" t="s">
        <v>16</v>
      </c>
      <c r="C280" s="90" t="s">
        <v>137</v>
      </c>
      <c r="D280" s="66" t="s">
        <v>140</v>
      </c>
      <c r="E280" s="82" t="s">
        <v>144</v>
      </c>
      <c r="F280" s="65" t="s">
        <v>145</v>
      </c>
      <c r="G280" s="82" t="str">
        <f>IF(K30="","",K30)</f>
        <v/>
      </c>
      <c r="H280" s="87" t="str">
        <f t="shared" si="21"/>
        <v/>
      </c>
    </row>
    <row r="281" spans="2:8" ht="13.8">
      <c r="B281" s="90" t="s">
        <v>16</v>
      </c>
      <c r="C281" s="90" t="s">
        <v>137</v>
      </c>
      <c r="D281" s="66" t="s">
        <v>141</v>
      </c>
      <c r="E281" s="82" t="s">
        <v>143</v>
      </c>
      <c r="F281" s="65" t="s">
        <v>146</v>
      </c>
      <c r="G281" s="82" t="str">
        <f>IF(K31="","",K31)</f>
        <v/>
      </c>
      <c r="H281" s="87" t="str">
        <f t="shared" si="21"/>
        <v/>
      </c>
    </row>
    <row r="282" spans="2:8" ht="13.8">
      <c r="B282" s="90" t="s">
        <v>16</v>
      </c>
      <c r="C282" s="90" t="s">
        <v>137</v>
      </c>
      <c r="D282" s="66" t="s">
        <v>141</v>
      </c>
      <c r="E282" s="82" t="s">
        <v>143</v>
      </c>
      <c r="F282" s="65" t="s">
        <v>145</v>
      </c>
      <c r="G282" s="82" t="str">
        <f>IF(K32="","",K32)</f>
        <v/>
      </c>
      <c r="H282" s="87" t="str">
        <f t="shared" si="21"/>
        <v/>
      </c>
    </row>
    <row r="283" spans="2:8" ht="13.8">
      <c r="B283" s="90" t="s">
        <v>16</v>
      </c>
      <c r="C283" s="90" t="s">
        <v>137</v>
      </c>
      <c r="D283" s="66" t="s">
        <v>141</v>
      </c>
      <c r="E283" s="82" t="s">
        <v>144</v>
      </c>
      <c r="F283" s="65" t="s">
        <v>146</v>
      </c>
      <c r="G283" s="82" t="str">
        <f>IF(K33="","",K33)</f>
        <v/>
      </c>
      <c r="H283" s="87" t="str">
        <f t="shared" si="21"/>
        <v/>
      </c>
    </row>
    <row r="284" spans="2:8" ht="13.8">
      <c r="B284" s="90" t="s">
        <v>16</v>
      </c>
      <c r="C284" s="90" t="s">
        <v>137</v>
      </c>
      <c r="D284" s="66" t="s">
        <v>141</v>
      </c>
      <c r="E284" s="82" t="s">
        <v>144</v>
      </c>
      <c r="F284" s="67" t="s">
        <v>145</v>
      </c>
      <c r="G284" s="82" t="str">
        <f>IF(K34="","",K34)</f>
        <v/>
      </c>
      <c r="H284" s="87" t="str">
        <f t="shared" si="21"/>
        <v/>
      </c>
    </row>
    <row r="285" spans="2:8" ht="13.8">
      <c r="B285" s="90" t="s">
        <v>16</v>
      </c>
      <c r="C285" s="90" t="s">
        <v>137</v>
      </c>
      <c r="D285" s="66" t="s">
        <v>142</v>
      </c>
      <c r="E285" s="82" t="s">
        <v>143</v>
      </c>
      <c r="F285" s="67" t="s">
        <v>146</v>
      </c>
      <c r="G285" s="82" t="str">
        <f>IF(K35="","",K35)</f>
        <v/>
      </c>
      <c r="H285" s="87" t="str">
        <f t="shared" si="21"/>
        <v/>
      </c>
    </row>
    <row r="286" spans="2:8" ht="13.8">
      <c r="B286" s="90" t="s">
        <v>16</v>
      </c>
      <c r="C286" s="90" t="s">
        <v>137</v>
      </c>
      <c r="D286" s="66" t="s">
        <v>142</v>
      </c>
      <c r="E286" s="82" t="s">
        <v>143</v>
      </c>
      <c r="F286" s="67" t="s">
        <v>145</v>
      </c>
      <c r="G286" s="82" t="str">
        <f>IF(K36="","",K36)</f>
        <v/>
      </c>
      <c r="H286" s="87" t="str">
        <f t="shared" si="21"/>
        <v/>
      </c>
    </row>
    <row r="287" spans="2:8" ht="13.8">
      <c r="B287" s="90" t="s">
        <v>16</v>
      </c>
      <c r="C287" s="90" t="s">
        <v>137</v>
      </c>
      <c r="D287" s="66" t="s">
        <v>142</v>
      </c>
      <c r="E287" s="82" t="s">
        <v>144</v>
      </c>
      <c r="F287" s="67" t="s">
        <v>146</v>
      </c>
      <c r="G287" s="82" t="str">
        <f>IF(K37="","",K37)</f>
        <v/>
      </c>
      <c r="H287" s="87" t="str">
        <f t="shared" si="21"/>
        <v/>
      </c>
    </row>
    <row r="288" spans="2:8" ht="13.8">
      <c r="B288" s="90" t="s">
        <v>16</v>
      </c>
      <c r="C288" s="90" t="s">
        <v>137</v>
      </c>
      <c r="D288" s="66" t="s">
        <v>142</v>
      </c>
      <c r="E288" s="82" t="s">
        <v>144</v>
      </c>
      <c r="F288" s="67" t="s">
        <v>145</v>
      </c>
      <c r="G288" s="82" t="str">
        <f>IF(K38="","",K38)</f>
        <v/>
      </c>
      <c r="H288" s="87" t="str">
        <f t="shared" si="21"/>
        <v/>
      </c>
    </row>
    <row r="289" spans="2:8" ht="13.8">
      <c r="B289" s="90" t="s">
        <v>16</v>
      </c>
      <c r="C289" s="90" t="s">
        <v>138</v>
      </c>
      <c r="D289" s="66" t="s">
        <v>140</v>
      </c>
      <c r="E289" s="82" t="s">
        <v>143</v>
      </c>
      <c r="F289" s="67" t="s">
        <v>146</v>
      </c>
      <c r="G289" s="82" t="str">
        <f>IF(K39="","",K39)</f>
        <v/>
      </c>
      <c r="H289" s="87" t="str">
        <f t="shared" si="21"/>
        <v/>
      </c>
    </row>
    <row r="290" spans="2:8" ht="13.8">
      <c r="B290" s="90" t="s">
        <v>16</v>
      </c>
      <c r="C290" s="90" t="s">
        <v>138</v>
      </c>
      <c r="D290" s="66" t="s">
        <v>140</v>
      </c>
      <c r="E290" s="82" t="s">
        <v>143</v>
      </c>
      <c r="F290" s="67" t="s">
        <v>145</v>
      </c>
      <c r="G290" s="82" t="str">
        <f>IF(K40="","",K40)</f>
        <v/>
      </c>
      <c r="H290" s="87" t="str">
        <f t="shared" si="21"/>
        <v/>
      </c>
    </row>
    <row r="291" spans="2:8" ht="13.8">
      <c r="B291" s="90" t="s">
        <v>16</v>
      </c>
      <c r="C291" s="90" t="s">
        <v>138</v>
      </c>
      <c r="D291" s="66" t="s">
        <v>140</v>
      </c>
      <c r="E291" s="82" t="s">
        <v>144</v>
      </c>
      <c r="F291" s="67" t="s">
        <v>146</v>
      </c>
      <c r="G291" s="82" t="str">
        <f>IF(K41="","",K41)</f>
        <v/>
      </c>
      <c r="H291" s="87" t="str">
        <f t="shared" si="21"/>
        <v/>
      </c>
    </row>
    <row r="292" spans="2:8" ht="13.8">
      <c r="B292" s="90" t="s">
        <v>16</v>
      </c>
      <c r="C292" s="90" t="s">
        <v>138</v>
      </c>
      <c r="D292" s="66" t="s">
        <v>140</v>
      </c>
      <c r="E292" s="84" t="s">
        <v>144</v>
      </c>
      <c r="F292" s="68" t="s">
        <v>145</v>
      </c>
      <c r="G292" s="82" t="str">
        <f>IF(K42="","",K42)</f>
        <v/>
      </c>
      <c r="H292" s="87" t="str">
        <f t="shared" si="21"/>
        <v/>
      </c>
    </row>
    <row r="293" spans="2:8" ht="13.8">
      <c r="B293" s="90" t="s">
        <v>16</v>
      </c>
      <c r="C293" s="90" t="s">
        <v>138</v>
      </c>
      <c r="D293" s="69" t="s">
        <v>141</v>
      </c>
      <c r="E293" s="84" t="s">
        <v>143</v>
      </c>
      <c r="F293" s="67" t="s">
        <v>146</v>
      </c>
      <c r="G293" s="82" t="str">
        <f>IF(K43="","",K43)</f>
        <v/>
      </c>
      <c r="H293" s="87" t="str">
        <f t="shared" si="21"/>
        <v/>
      </c>
    </row>
    <row r="294" spans="2:8" ht="13.8">
      <c r="B294" s="91" t="s">
        <v>16</v>
      </c>
      <c r="C294" s="91" t="s">
        <v>138</v>
      </c>
      <c r="D294" s="70" t="s">
        <v>141</v>
      </c>
      <c r="E294" s="85" t="s">
        <v>143</v>
      </c>
      <c r="F294" s="70" t="s">
        <v>145</v>
      </c>
      <c r="G294" s="82" t="str">
        <f>IF(K44="","",K44)</f>
        <v/>
      </c>
      <c r="H294" s="87" t="str">
        <f t="shared" si="21"/>
        <v/>
      </c>
    </row>
    <row r="295" spans="2:8" ht="13.8">
      <c r="B295" s="86" t="s">
        <v>16</v>
      </c>
      <c r="C295" s="86" t="s">
        <v>138</v>
      </c>
      <c r="D295" s="74" t="s">
        <v>141</v>
      </c>
      <c r="E295" s="86" t="s">
        <v>144</v>
      </c>
      <c r="F295" s="73" t="s">
        <v>146</v>
      </c>
      <c r="G295" s="82" t="str">
        <f>IF(K45="","",K45)</f>
        <v/>
      </c>
      <c r="H295" s="87" t="str">
        <f t="shared" si="21"/>
        <v/>
      </c>
    </row>
    <row r="296" spans="2:8" ht="13.8">
      <c r="B296" s="86" t="s">
        <v>16</v>
      </c>
      <c r="C296" s="86" t="s">
        <v>138</v>
      </c>
      <c r="D296" s="74" t="s">
        <v>141</v>
      </c>
      <c r="E296" s="86" t="s">
        <v>144</v>
      </c>
      <c r="F296" s="73" t="s">
        <v>145</v>
      </c>
      <c r="G296" s="82" t="str">
        <f>IF(K46="","",K46)</f>
        <v/>
      </c>
      <c r="H296" s="87" t="str">
        <f t="shared" si="21"/>
        <v/>
      </c>
    </row>
    <row r="297" spans="2:8" ht="13.8">
      <c r="B297" s="86" t="s">
        <v>16</v>
      </c>
      <c r="C297" s="86" t="s">
        <v>138</v>
      </c>
      <c r="D297" s="74" t="s">
        <v>142</v>
      </c>
      <c r="E297" s="86" t="s">
        <v>143</v>
      </c>
      <c r="F297" s="73" t="s">
        <v>146</v>
      </c>
      <c r="G297" s="82" t="str">
        <f>IF(K47="","",K47)</f>
        <v/>
      </c>
      <c r="H297" s="87" t="str">
        <f t="shared" si="21"/>
        <v/>
      </c>
    </row>
    <row r="298" spans="2:8" ht="13.8">
      <c r="B298" s="86" t="s">
        <v>16</v>
      </c>
      <c r="C298" s="86" t="s">
        <v>138</v>
      </c>
      <c r="D298" s="74" t="s">
        <v>142</v>
      </c>
      <c r="E298" s="86" t="s">
        <v>143</v>
      </c>
      <c r="F298" s="73" t="s">
        <v>145</v>
      </c>
      <c r="G298" s="82" t="str">
        <f>IF(K48="","",K48)</f>
        <v/>
      </c>
      <c r="H298" s="87" t="str">
        <f t="shared" si="21"/>
        <v/>
      </c>
    </row>
    <row r="299" spans="2:8" ht="13.8">
      <c r="B299" s="86" t="s">
        <v>16</v>
      </c>
      <c r="C299" s="86" t="s">
        <v>138</v>
      </c>
      <c r="D299" s="74" t="s">
        <v>142</v>
      </c>
      <c r="E299" s="86" t="s">
        <v>144</v>
      </c>
      <c r="F299" s="73" t="s">
        <v>146</v>
      </c>
      <c r="G299" s="82" t="str">
        <f>IF(K49="","",K49)</f>
        <v/>
      </c>
      <c r="H299" s="87" t="str">
        <f t="shared" si="21"/>
        <v/>
      </c>
    </row>
    <row r="300" spans="2:8" ht="13.8">
      <c r="B300" s="86" t="s">
        <v>16</v>
      </c>
      <c r="C300" s="86" t="s">
        <v>138</v>
      </c>
      <c r="D300" s="74" t="s">
        <v>142</v>
      </c>
      <c r="E300" s="86" t="s">
        <v>144</v>
      </c>
      <c r="F300" s="73" t="s">
        <v>145</v>
      </c>
      <c r="G300" s="82" t="str">
        <f>IF(K50="","",K50)</f>
        <v/>
      </c>
      <c r="H300" s="87" t="str">
        <f t="shared" si="21"/>
        <v/>
      </c>
    </row>
    <row r="301" spans="2:8" ht="13.8">
      <c r="B301" s="86" t="s">
        <v>16</v>
      </c>
      <c r="C301" s="86" t="s">
        <v>139</v>
      </c>
      <c r="D301" s="74" t="s">
        <v>140</v>
      </c>
      <c r="E301" s="86" t="s">
        <v>143</v>
      </c>
      <c r="F301" s="73" t="s">
        <v>146</v>
      </c>
      <c r="G301" s="82" t="str">
        <f>IF(K51="","",K51)</f>
        <v/>
      </c>
      <c r="H301" s="87" t="str">
        <f t="shared" si="21"/>
        <v/>
      </c>
    </row>
    <row r="302" spans="2:8" ht="13.8">
      <c r="B302" s="86" t="s">
        <v>16</v>
      </c>
      <c r="C302" s="86" t="s">
        <v>139</v>
      </c>
      <c r="D302" s="74" t="s">
        <v>140</v>
      </c>
      <c r="E302" s="86" t="s">
        <v>143</v>
      </c>
      <c r="F302" s="73" t="s">
        <v>145</v>
      </c>
      <c r="G302" s="82" t="str">
        <f>IF(K52="","",K52)</f>
        <v/>
      </c>
      <c r="H302" s="87" t="str">
        <f t="shared" si="21"/>
        <v/>
      </c>
    </row>
    <row r="303" spans="2:8" ht="13.8">
      <c r="B303" s="86" t="s">
        <v>16</v>
      </c>
      <c r="C303" s="86" t="s">
        <v>139</v>
      </c>
      <c r="D303" s="74" t="s">
        <v>140</v>
      </c>
      <c r="E303" s="86" t="s">
        <v>144</v>
      </c>
      <c r="F303" s="73" t="s">
        <v>146</v>
      </c>
      <c r="G303" s="82" t="str">
        <f>IF(K53="","",K53)</f>
        <v/>
      </c>
      <c r="H303" s="87" t="str">
        <f t="shared" si="21"/>
        <v/>
      </c>
    </row>
    <row r="304" spans="2:8" ht="13.8">
      <c r="B304" s="86" t="s">
        <v>16</v>
      </c>
      <c r="C304" s="86" t="s">
        <v>139</v>
      </c>
      <c r="D304" s="74" t="s">
        <v>140</v>
      </c>
      <c r="E304" s="86" t="s">
        <v>144</v>
      </c>
      <c r="F304" s="73" t="s">
        <v>145</v>
      </c>
      <c r="G304" s="82" t="str">
        <f>IF(K54="","",K54)</f>
        <v/>
      </c>
      <c r="H304" s="87" t="str">
        <f t="shared" si="21"/>
        <v/>
      </c>
    </row>
    <row r="305" spans="1:9" ht="13.8">
      <c r="B305" s="86" t="s">
        <v>16</v>
      </c>
      <c r="C305" s="86" t="s">
        <v>139</v>
      </c>
      <c r="D305" s="74" t="s">
        <v>141</v>
      </c>
      <c r="E305" s="86" t="s">
        <v>143</v>
      </c>
      <c r="F305" s="69" t="s">
        <v>146</v>
      </c>
      <c r="G305" s="82" t="str">
        <f>IF(K55="","",K55)</f>
        <v/>
      </c>
      <c r="H305" s="87" t="str">
        <f t="shared" si="21"/>
        <v/>
      </c>
    </row>
    <row r="306" spans="1:9" ht="13.8">
      <c r="B306" s="86" t="s">
        <v>16</v>
      </c>
      <c r="C306" s="86" t="s">
        <v>139</v>
      </c>
      <c r="D306" s="74" t="s">
        <v>141</v>
      </c>
      <c r="E306" s="86" t="s">
        <v>143</v>
      </c>
      <c r="F306" s="69" t="s">
        <v>145</v>
      </c>
      <c r="G306" s="82" t="str">
        <f>IF(K56="","",K56)</f>
        <v/>
      </c>
      <c r="H306" s="87" t="str">
        <f t="shared" si="21"/>
        <v/>
      </c>
    </row>
    <row r="307" spans="1:9" ht="13.8">
      <c r="B307" s="84" t="s">
        <v>16</v>
      </c>
      <c r="C307" s="84" t="s">
        <v>139</v>
      </c>
      <c r="D307" s="67" t="s">
        <v>141</v>
      </c>
      <c r="E307" s="84" t="s">
        <v>144</v>
      </c>
      <c r="F307" s="67" t="s">
        <v>146</v>
      </c>
      <c r="G307" s="82" t="str">
        <f>IF(K57="","",K57)</f>
        <v/>
      </c>
      <c r="H307" s="87" t="str">
        <f t="shared" si="21"/>
        <v/>
      </c>
    </row>
    <row r="308" spans="1:9" ht="13.8">
      <c r="B308" s="87" t="s">
        <v>16</v>
      </c>
      <c r="C308" s="87" t="s">
        <v>139</v>
      </c>
      <c r="D308" s="77" t="s">
        <v>141</v>
      </c>
      <c r="E308" s="87" t="s">
        <v>144</v>
      </c>
      <c r="F308" s="77" t="s">
        <v>145</v>
      </c>
      <c r="G308" s="82" t="str">
        <f>IF(K58="","",K58)</f>
        <v/>
      </c>
      <c r="H308" s="87" t="str">
        <f t="shared" si="21"/>
        <v/>
      </c>
    </row>
    <row r="309" spans="1:9" ht="13.8">
      <c r="B309" s="87" t="s">
        <v>16</v>
      </c>
      <c r="C309" s="87" t="s">
        <v>139</v>
      </c>
      <c r="D309" s="77" t="s">
        <v>142</v>
      </c>
      <c r="E309" s="87" t="s">
        <v>143</v>
      </c>
      <c r="F309" s="77" t="s">
        <v>146</v>
      </c>
      <c r="G309" s="82" t="str">
        <f>IF(K59="","",K59)</f>
        <v/>
      </c>
      <c r="H309" s="87" t="str">
        <f t="shared" si="21"/>
        <v/>
      </c>
    </row>
    <row r="310" spans="1:9" ht="13.8">
      <c r="B310" s="87" t="s">
        <v>16</v>
      </c>
      <c r="C310" s="87" t="s">
        <v>139</v>
      </c>
      <c r="D310" s="77" t="s">
        <v>142</v>
      </c>
      <c r="E310" s="87" t="s">
        <v>143</v>
      </c>
      <c r="F310" s="77" t="s">
        <v>145</v>
      </c>
      <c r="G310" s="82" t="str">
        <f>IF(K60="","",K60)</f>
        <v/>
      </c>
      <c r="H310" s="87" t="str">
        <f t="shared" si="21"/>
        <v/>
      </c>
    </row>
    <row r="311" spans="1:9" ht="13.8">
      <c r="B311" s="87" t="s">
        <v>16</v>
      </c>
      <c r="C311" s="87" t="s">
        <v>139</v>
      </c>
      <c r="D311" s="77" t="s">
        <v>142</v>
      </c>
      <c r="E311" s="87" t="s">
        <v>144</v>
      </c>
      <c r="F311" s="77" t="s">
        <v>146</v>
      </c>
      <c r="G311" s="82" t="str">
        <f>IF(K61="","",K61)</f>
        <v/>
      </c>
      <c r="H311" s="87" t="str">
        <f t="shared" si="21"/>
        <v/>
      </c>
    </row>
    <row r="312" spans="1:9" ht="13.8">
      <c r="B312" s="88" t="s">
        <v>16</v>
      </c>
      <c r="C312" s="88" t="s">
        <v>139</v>
      </c>
      <c r="D312" s="80" t="s">
        <v>142</v>
      </c>
      <c r="E312" s="88" t="s">
        <v>144</v>
      </c>
      <c r="F312" s="80" t="s">
        <v>145</v>
      </c>
      <c r="G312" s="83" t="str">
        <f>IF(K62="","",K62)</f>
        <v/>
      </c>
      <c r="H312" s="88" t="str">
        <f t="shared" si="21"/>
        <v/>
      </c>
    </row>
    <row r="315" spans="1:9" ht="14.4">
      <c r="A315" s="167" t="s">
        <v>161</v>
      </c>
      <c r="B315" s="168"/>
      <c r="C315" s="168"/>
      <c r="D315" s="168"/>
      <c r="E315" s="168"/>
      <c r="F315" s="168"/>
      <c r="G315" s="168"/>
      <c r="H315" s="168"/>
      <c r="I315" s="168"/>
    </row>
    <row r="317" spans="1:9">
      <c r="B317" s="144" t="s">
        <v>162</v>
      </c>
    </row>
    <row r="318" spans="1:9">
      <c r="B318" s="144"/>
      <c r="C318" s="144" t="s">
        <v>163</v>
      </c>
    </row>
    <row r="320" spans="1:9">
      <c r="B320" s="12" t="s">
        <v>164</v>
      </c>
    </row>
    <row r="321" spans="2:9">
      <c r="B321" s="144" t="s">
        <v>165</v>
      </c>
    </row>
    <row r="322" spans="2:9" ht="13.8">
      <c r="B322" s="144"/>
      <c r="C322" s="170" t="s">
        <v>180</v>
      </c>
      <c r="D322" s="168"/>
      <c r="E322" s="168"/>
      <c r="F322" s="168"/>
      <c r="G322" s="168"/>
      <c r="H322" s="168"/>
      <c r="I322" s="168"/>
    </row>
    <row r="323" spans="2:9" ht="13.8">
      <c r="B323" s="144"/>
      <c r="C323" s="170" t="s">
        <v>181</v>
      </c>
      <c r="D323" s="168"/>
      <c r="E323" s="168"/>
      <c r="F323" s="168"/>
      <c r="G323" s="168"/>
      <c r="H323" s="168"/>
      <c r="I323" s="168"/>
    </row>
    <row r="324" spans="2:9" ht="13.8">
      <c r="B324" s="144"/>
      <c r="C324" s="170" t="s">
        <v>182</v>
      </c>
      <c r="D324" s="168"/>
      <c r="E324" s="168"/>
      <c r="F324" s="168"/>
      <c r="G324" s="168"/>
      <c r="H324" s="168"/>
      <c r="I324" s="168"/>
    </row>
    <row r="325" spans="2:9">
      <c r="B325" s="144"/>
    </row>
    <row r="326" spans="2:9">
      <c r="B326" s="144" t="s">
        <v>166</v>
      </c>
    </row>
    <row r="327" spans="2:9">
      <c r="B327" s="144" t="s">
        <v>167</v>
      </c>
    </row>
    <row r="328" spans="2:9" ht="13.8">
      <c r="B328" s="144"/>
      <c r="C328" s="170" t="s">
        <v>168</v>
      </c>
      <c r="D328" s="170"/>
      <c r="E328" s="170"/>
      <c r="F328" s="170"/>
      <c r="G328" s="168"/>
      <c r="H328" s="168"/>
      <c r="I328" s="168"/>
    </row>
    <row r="329" spans="2:9" ht="13.8">
      <c r="B329" s="144"/>
      <c r="C329" s="170" t="s">
        <v>169</v>
      </c>
      <c r="D329" s="168"/>
      <c r="E329" s="168"/>
      <c r="F329" s="168"/>
      <c r="G329" s="168"/>
      <c r="H329" s="168"/>
      <c r="I329" s="168"/>
    </row>
    <row r="330" spans="2:9">
      <c r="B330" s="144"/>
    </row>
    <row r="331" spans="2:9">
      <c r="B331" s="144" t="s">
        <v>170</v>
      </c>
    </row>
    <row r="332" spans="2:9">
      <c r="B332" s="144"/>
      <c r="C332" s="144" t="s">
        <v>186</v>
      </c>
    </row>
    <row r="333" spans="2:9">
      <c r="B333" s="144"/>
      <c r="C333" s="185" t="s">
        <v>187</v>
      </c>
    </row>
    <row r="334" spans="2:9">
      <c r="B334" s="144"/>
      <c r="C334" s="144" t="s">
        <v>188</v>
      </c>
    </row>
    <row r="335" spans="2:9">
      <c r="B335" s="144"/>
      <c r="C335" s="185" t="s">
        <v>189</v>
      </c>
    </row>
    <row r="336" spans="2:9">
      <c r="B336" s="144"/>
      <c r="C336" s="144" t="s">
        <v>190</v>
      </c>
    </row>
    <row r="337" spans="1:9">
      <c r="B337" s="144"/>
      <c r="C337" s="144" t="s">
        <v>191</v>
      </c>
    </row>
    <row r="338" spans="1:9">
      <c r="B338" s="144"/>
      <c r="C338" s="144"/>
    </row>
    <row r="339" spans="1:9">
      <c r="B339" s="144"/>
      <c r="C339" s="144" t="s">
        <v>192</v>
      </c>
    </row>
    <row r="340" spans="1:9" ht="13.8">
      <c r="C340" s="170" t="s">
        <v>183</v>
      </c>
      <c r="D340" s="168"/>
      <c r="E340" s="168"/>
      <c r="F340" s="168"/>
      <c r="G340" s="168"/>
      <c r="H340" s="168"/>
      <c r="I340" s="168"/>
    </row>
    <row r="341" spans="1:9" ht="13.8">
      <c r="C341" s="170" t="s">
        <v>181</v>
      </c>
      <c r="D341" s="168"/>
      <c r="E341" s="168"/>
      <c r="F341" s="168"/>
      <c r="G341" s="168"/>
      <c r="H341" s="168"/>
      <c r="I341" s="168"/>
    </row>
    <row r="342" spans="1:9" ht="13.8">
      <c r="C342" s="170" t="s">
        <v>182</v>
      </c>
      <c r="D342" s="168"/>
      <c r="E342" s="168"/>
      <c r="F342" s="168"/>
      <c r="G342" s="168"/>
      <c r="H342" s="168"/>
      <c r="I342" s="168"/>
    </row>
    <row r="343" spans="1:9" ht="15.6">
      <c r="A343" s="169"/>
    </row>
    <row r="344" spans="1:9" ht="15.6">
      <c r="A344" s="169"/>
      <c r="C344" s="144" t="s">
        <v>193</v>
      </c>
    </row>
    <row r="345" spans="1:9" ht="15.6">
      <c r="A345" s="169"/>
      <c r="C345" s="170" t="s">
        <v>194</v>
      </c>
      <c r="D345" s="168"/>
      <c r="E345" s="168"/>
      <c r="F345" s="168"/>
      <c r="G345" s="168"/>
      <c r="H345" s="168"/>
      <c r="I345" s="168"/>
    </row>
    <row r="346" spans="1:9" ht="15.6">
      <c r="A346" s="169"/>
      <c r="C346" s="170" t="s">
        <v>168</v>
      </c>
      <c r="D346" s="168"/>
      <c r="E346" s="168"/>
      <c r="F346" s="168"/>
      <c r="G346" s="168"/>
      <c r="H346" s="168"/>
      <c r="I346" s="168"/>
    </row>
    <row r="347" spans="1:9" ht="15.6">
      <c r="A347" s="169"/>
      <c r="C347" s="170" t="s">
        <v>211</v>
      </c>
      <c r="D347" s="168"/>
      <c r="E347" s="168"/>
      <c r="F347" s="168"/>
      <c r="G347" s="168"/>
      <c r="H347" s="168"/>
      <c r="I347" s="168"/>
    </row>
    <row r="348" spans="1:9" ht="15.6">
      <c r="A348" s="169"/>
      <c r="C348" s="170" t="s">
        <v>181</v>
      </c>
      <c r="D348" s="168"/>
      <c r="E348" s="168"/>
      <c r="F348" s="168"/>
      <c r="G348" s="168"/>
      <c r="H348" s="168"/>
      <c r="I348" s="168"/>
    </row>
    <row r="349" spans="1:9" ht="15.6">
      <c r="A349" s="169"/>
      <c r="C349" s="170" t="s">
        <v>207</v>
      </c>
      <c r="D349" s="168"/>
      <c r="E349" s="168"/>
      <c r="F349" s="168"/>
      <c r="G349" s="168"/>
      <c r="H349" s="168"/>
      <c r="I349" s="168"/>
    </row>
    <row r="350" spans="1:9" ht="15.6">
      <c r="A350" s="169"/>
    </row>
    <row r="351" spans="1:9" ht="15.6">
      <c r="A351" s="169"/>
    </row>
    <row r="352" spans="1:9" ht="15.6">
      <c r="A352" s="169"/>
    </row>
    <row r="353" spans="1:9" ht="15.6">
      <c r="A353" s="169"/>
      <c r="B353" s="144" t="s">
        <v>201</v>
      </c>
    </row>
    <row r="354" spans="1:9" ht="15.6">
      <c r="A354" s="169"/>
      <c r="C354" s="170" t="s">
        <v>208</v>
      </c>
      <c r="D354" s="168"/>
      <c r="E354" s="168"/>
      <c r="F354" s="168"/>
      <c r="G354" s="168"/>
      <c r="H354" s="168"/>
      <c r="I354" s="168"/>
    </row>
    <row r="355" spans="1:9" ht="13.8">
      <c r="C355" s="170" t="s">
        <v>209</v>
      </c>
      <c r="D355" s="168"/>
      <c r="E355" s="168"/>
      <c r="F355" s="168"/>
      <c r="G355" s="168"/>
      <c r="H355" s="168"/>
      <c r="I355" s="168"/>
    </row>
    <row r="356" spans="1:9" ht="13.8">
      <c r="C356" s="170" t="s">
        <v>210</v>
      </c>
      <c r="D356" s="168"/>
      <c r="E356" s="168"/>
      <c r="F356" s="168"/>
      <c r="G356" s="168"/>
      <c r="H356" s="168"/>
      <c r="I356" s="168"/>
    </row>
    <row r="360" spans="1:9">
      <c r="A360" s="186" t="s">
        <v>212</v>
      </c>
    </row>
  </sheetData>
  <sheetProtection sheet="1" objects="1" scenarios="1" formatCells="0"/>
  <mergeCells count="7">
    <mergeCell ref="H10:J10"/>
    <mergeCell ref="D2:H2"/>
    <mergeCell ref="D3:H3"/>
    <mergeCell ref="D4:H4"/>
    <mergeCell ref="D5:H5"/>
    <mergeCell ref="H8:J8"/>
    <mergeCell ref="H9:J9"/>
  </mergeCells>
  <phoneticPr fontId="0" type="noConversion"/>
  <hyperlinks>
    <hyperlink ref="A360" r:id="rId1"/>
  </hyperlinks>
  <pageMargins left="0.78740157499999996" right="0.78740157499999996" top="0.984251969" bottom="0.984251969" header="0.4921259845" footer="0.4921259845"/>
  <pageSetup paperSize="9" scale="69" orientation="portrait" horizontalDpi="360" verticalDpi="360" r:id="rId2"/>
  <headerFooter alignWithMargins="0"/>
  <colBreaks count="1" manualBreakCount="1">
    <brk id="12" max="1048575" man="1"/>
  </col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B1:F47"/>
  <sheetViews>
    <sheetView workbookViewId="0"/>
  </sheetViews>
  <sheetFormatPr baseColWidth="10" defaultRowHeight="13.2"/>
  <sheetData>
    <row r="1" spans="2:6" ht="13.8" thickBot="1"/>
    <row r="2" spans="2:6">
      <c r="B2" s="6" t="s">
        <v>116</v>
      </c>
      <c r="C2" s="2">
        <v>158.12499999999977</v>
      </c>
    </row>
    <row r="3" spans="2:6">
      <c r="B3" s="5" t="s">
        <v>117</v>
      </c>
      <c r="C3" s="3">
        <v>346.24999999999989</v>
      </c>
    </row>
    <row r="4" spans="2:6">
      <c r="B4" s="5" t="s">
        <v>118</v>
      </c>
      <c r="C4" s="3">
        <v>606.24999999999989</v>
      </c>
    </row>
    <row r="5" spans="2:6" ht="13.8" thickBot="1">
      <c r="B5" s="7" t="s">
        <v>119</v>
      </c>
      <c r="C5" s="4">
        <v>866.25</v>
      </c>
    </row>
    <row r="7" spans="2:6" ht="13.8" thickBot="1"/>
    <row r="8" spans="2:6">
      <c r="B8" s="6" t="s">
        <v>116</v>
      </c>
      <c r="C8" s="2">
        <v>165</v>
      </c>
      <c r="D8" s="2">
        <v>164.99999999999989</v>
      </c>
      <c r="E8" s="2">
        <v>118.74999999999966</v>
      </c>
      <c r="F8" s="2">
        <v>183.74999999999966</v>
      </c>
    </row>
    <row r="9" spans="2:6">
      <c r="B9" s="5" t="s">
        <v>117</v>
      </c>
      <c r="C9" s="3">
        <v>248.74999999999989</v>
      </c>
      <c r="D9" s="3">
        <v>313.74999999999989</v>
      </c>
      <c r="E9" s="3">
        <v>378.75</v>
      </c>
      <c r="F9" s="3">
        <v>443.75</v>
      </c>
    </row>
    <row r="10" spans="2:6">
      <c r="B10" s="5" t="s">
        <v>118</v>
      </c>
      <c r="C10" s="3">
        <v>508.74999999999977</v>
      </c>
      <c r="D10" s="3">
        <v>573.74999999999989</v>
      </c>
      <c r="E10" s="3">
        <v>638.75</v>
      </c>
      <c r="F10" s="3">
        <v>703.75</v>
      </c>
    </row>
    <row r="11" spans="2:6" ht="13.8" thickBot="1">
      <c r="B11" s="7" t="s">
        <v>119</v>
      </c>
      <c r="C11" s="4">
        <v>768.75</v>
      </c>
      <c r="D11" s="4">
        <v>833.75</v>
      </c>
      <c r="E11" s="4">
        <v>898.75000000000011</v>
      </c>
      <c r="F11" s="4">
        <v>963.75000000000011</v>
      </c>
    </row>
    <row r="13" spans="2:6" ht="13.8" thickBot="1"/>
    <row r="14" spans="2:6">
      <c r="B14" s="6" t="s">
        <v>116</v>
      </c>
      <c r="C14" s="2">
        <v>139.99999999999989</v>
      </c>
      <c r="D14" s="2">
        <v>176.24999999999977</v>
      </c>
    </row>
    <row r="15" spans="2:6">
      <c r="B15" s="5" t="s">
        <v>117</v>
      </c>
      <c r="C15" s="3">
        <v>329.99999999999989</v>
      </c>
      <c r="D15" s="3">
        <v>362.49999999999989</v>
      </c>
    </row>
    <row r="16" spans="2:6">
      <c r="B16" s="5" t="s">
        <v>118</v>
      </c>
      <c r="C16" s="3">
        <v>589.99999999999989</v>
      </c>
      <c r="D16" s="3">
        <v>622.49999999999989</v>
      </c>
    </row>
    <row r="17" spans="2:6" ht="13.8" thickBot="1">
      <c r="B17" s="7" t="s">
        <v>119</v>
      </c>
      <c r="C17" s="4">
        <v>850</v>
      </c>
      <c r="D17" s="4">
        <v>882.5</v>
      </c>
    </row>
    <row r="19" spans="2:6" ht="13.8" thickBot="1"/>
    <row r="20" spans="2:6">
      <c r="B20" s="6" t="s">
        <v>116</v>
      </c>
      <c r="C20" s="2">
        <v>422.81249999999989</v>
      </c>
    </row>
    <row r="21" spans="2:6">
      <c r="B21" s="5" t="s">
        <v>117</v>
      </c>
      <c r="C21" s="3">
        <v>471.56249999999994</v>
      </c>
    </row>
    <row r="22" spans="2:6">
      <c r="B22" s="5" t="s">
        <v>118</v>
      </c>
      <c r="C22" s="3">
        <v>508.74999999999994</v>
      </c>
    </row>
    <row r="23" spans="2:6" ht="13.8" thickBot="1">
      <c r="B23" s="7" t="s">
        <v>119</v>
      </c>
      <c r="C23" s="4">
        <v>573.75</v>
      </c>
    </row>
    <row r="25" spans="2:6" ht="13.8" thickBot="1"/>
    <row r="26" spans="2:6">
      <c r="B26" s="6" t="s">
        <v>116</v>
      </c>
      <c r="C26" s="2">
        <v>165</v>
      </c>
      <c r="D26" s="2">
        <v>248.74999999999989</v>
      </c>
      <c r="E26" s="2">
        <v>508.74999999999977</v>
      </c>
      <c r="F26" s="2">
        <v>768.75</v>
      </c>
    </row>
    <row r="27" spans="2:6">
      <c r="B27" s="5" t="s">
        <v>117</v>
      </c>
      <c r="C27" s="3">
        <v>164.99999999999989</v>
      </c>
      <c r="D27" s="3">
        <v>313.74999999999989</v>
      </c>
      <c r="E27" s="3">
        <v>573.74999999999989</v>
      </c>
      <c r="F27" s="3">
        <v>833.75</v>
      </c>
    </row>
    <row r="28" spans="2:6">
      <c r="B28" s="5" t="s">
        <v>118</v>
      </c>
      <c r="C28" s="3">
        <v>118.74999999999966</v>
      </c>
      <c r="D28" s="3">
        <v>378.75</v>
      </c>
      <c r="E28" s="3">
        <v>638.75</v>
      </c>
      <c r="F28" s="3">
        <v>898.75000000000011</v>
      </c>
    </row>
    <row r="29" spans="2:6" ht="13.8" thickBot="1">
      <c r="B29" s="7" t="s">
        <v>119</v>
      </c>
      <c r="C29" s="4">
        <v>183.74999999999966</v>
      </c>
      <c r="D29" s="4">
        <v>443.75</v>
      </c>
      <c r="E29" s="4">
        <v>703.75</v>
      </c>
      <c r="F29" s="4">
        <v>963.75000000000011</v>
      </c>
    </row>
    <row r="31" spans="2:6" ht="13.8" thickBot="1"/>
    <row r="32" spans="2:6">
      <c r="B32" s="6" t="s">
        <v>116</v>
      </c>
      <c r="C32" s="2">
        <v>404.37499999999989</v>
      </c>
      <c r="D32" s="2">
        <v>441.24999999999989</v>
      </c>
    </row>
    <row r="33" spans="2:6">
      <c r="B33" s="5" t="s">
        <v>117</v>
      </c>
      <c r="C33" s="3">
        <v>455.62499999999989</v>
      </c>
      <c r="D33" s="3">
        <v>487.49999999999994</v>
      </c>
    </row>
    <row r="34" spans="2:6">
      <c r="B34" s="5" t="s">
        <v>118</v>
      </c>
      <c r="C34" s="3">
        <v>492.49999999999994</v>
      </c>
      <c r="D34" s="3">
        <v>524.99999999999989</v>
      </c>
    </row>
    <row r="35" spans="2:6" ht="13.8" thickBot="1">
      <c r="B35" s="7" t="s">
        <v>119</v>
      </c>
      <c r="C35" s="4">
        <v>557.5</v>
      </c>
      <c r="D35" s="4">
        <v>590</v>
      </c>
    </row>
    <row r="37" spans="2:6" ht="13.8" thickBot="1"/>
    <row r="38" spans="2:6">
      <c r="B38" s="6" t="s">
        <v>116</v>
      </c>
      <c r="C38" s="2">
        <v>477.49999999999994</v>
      </c>
    </row>
    <row r="39" spans="2:6" ht="13.8" thickBot="1">
      <c r="B39" s="7" t="s">
        <v>117</v>
      </c>
      <c r="C39" s="4">
        <v>510.93749999999989</v>
      </c>
    </row>
    <row r="41" spans="2:6" ht="13.8" thickBot="1"/>
    <row r="42" spans="2:6">
      <c r="B42" s="6" t="s">
        <v>116</v>
      </c>
      <c r="C42" s="2">
        <v>139.99999999999989</v>
      </c>
      <c r="D42" s="2">
        <v>329.99999999999989</v>
      </c>
      <c r="E42" s="2">
        <v>589.99999999999989</v>
      </c>
      <c r="F42" s="2">
        <v>850</v>
      </c>
    </row>
    <row r="43" spans="2:6" ht="13.8" thickBot="1">
      <c r="B43" s="7" t="s">
        <v>117</v>
      </c>
      <c r="C43" s="4">
        <v>176.24999999999977</v>
      </c>
      <c r="D43" s="4">
        <v>362.49999999999989</v>
      </c>
      <c r="E43" s="4">
        <v>622.49999999999989</v>
      </c>
      <c r="F43" s="4">
        <v>882.5</v>
      </c>
    </row>
    <row r="45" spans="2:6" ht="13.8" thickBot="1"/>
    <row r="46" spans="2:6">
      <c r="B46" s="6" t="s">
        <v>116</v>
      </c>
      <c r="C46" s="2">
        <v>404.37499999999989</v>
      </c>
      <c r="D46" s="2">
        <v>455.62499999999989</v>
      </c>
      <c r="E46" s="2">
        <v>492.49999999999994</v>
      </c>
      <c r="F46" s="2">
        <v>557.5</v>
      </c>
    </row>
    <row r="47" spans="2:6" ht="13.8" thickBot="1">
      <c r="B47" s="7" t="s">
        <v>117</v>
      </c>
      <c r="C47" s="4">
        <v>441.24999999999989</v>
      </c>
      <c r="D47" s="4">
        <v>487.49999999999994</v>
      </c>
      <c r="E47" s="4">
        <v>524.99999999999989</v>
      </c>
      <c r="F47" s="4">
        <v>590</v>
      </c>
    </row>
  </sheetData>
  <pageMargins left="0.7" right="0.7" top="0.75" bottom="0.75" header="0.3" footer="0.3"/>
  <ignoredErrors>
    <ignoredError sqref="B2:B5 B8:B11 B14:B17 B20:B23 B26:B29 B32:B35 B38:B39 B42:B43 B46:B4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132</vt:i4>
      </vt:variant>
    </vt:vector>
  </HeadingPairs>
  <TitlesOfParts>
    <vt:vector size="137" baseType="lpstr">
      <vt:lpstr>Plans mini</vt:lpstr>
      <vt:lpstr>432</vt:lpstr>
      <vt:lpstr>442</vt:lpstr>
      <vt:lpstr>4322</vt:lpstr>
      <vt:lpstr>ANOVA_HID</vt:lpstr>
      <vt:lpstr>_PA1</vt:lpstr>
      <vt:lpstr>_PA2</vt:lpstr>
      <vt:lpstr>_PA3</vt:lpstr>
      <vt:lpstr>_PA4</vt:lpstr>
      <vt:lpstr>_PB1</vt:lpstr>
      <vt:lpstr>_PB2</vt:lpstr>
      <vt:lpstr>_PB3</vt:lpstr>
      <vt:lpstr>_PC1</vt:lpstr>
      <vt:lpstr>_PC2</vt:lpstr>
      <vt:lpstr>_PD1</vt:lpstr>
      <vt:lpstr>_PD2</vt:lpstr>
      <vt:lpstr>_qa1</vt:lpstr>
      <vt:lpstr>_qa2</vt:lpstr>
      <vt:lpstr>_qa3</vt:lpstr>
      <vt:lpstr>_qa4</vt:lpstr>
      <vt:lpstr>_qb1</vt:lpstr>
      <vt:lpstr>_qb2</vt:lpstr>
      <vt:lpstr>_qb3</vt:lpstr>
      <vt:lpstr>_qb4</vt:lpstr>
      <vt:lpstr>_qc1</vt:lpstr>
      <vt:lpstr>_qc2</vt:lpstr>
      <vt:lpstr>_RA1</vt:lpstr>
      <vt:lpstr>_RA2</vt:lpstr>
      <vt:lpstr>_RA3</vt:lpstr>
      <vt:lpstr>_RA4</vt:lpstr>
      <vt:lpstr>_RB1</vt:lpstr>
      <vt:lpstr>_RB2</vt:lpstr>
      <vt:lpstr>_RB3</vt:lpstr>
      <vt:lpstr>PA1B1</vt:lpstr>
      <vt:lpstr>PA1B2</vt:lpstr>
      <vt:lpstr>PA1B3</vt:lpstr>
      <vt:lpstr>PA1C1</vt:lpstr>
      <vt:lpstr>PA1C2</vt:lpstr>
      <vt:lpstr>PA1D1</vt:lpstr>
      <vt:lpstr>PA1D2</vt:lpstr>
      <vt:lpstr>PA2B1</vt:lpstr>
      <vt:lpstr>PA2B2</vt:lpstr>
      <vt:lpstr>PA2B3</vt:lpstr>
      <vt:lpstr>PA2C1</vt:lpstr>
      <vt:lpstr>PA2C2</vt:lpstr>
      <vt:lpstr>PA2D1</vt:lpstr>
      <vt:lpstr>PA2D2</vt:lpstr>
      <vt:lpstr>PA3B1</vt:lpstr>
      <vt:lpstr>PA3B2</vt:lpstr>
      <vt:lpstr>PA3B3</vt:lpstr>
      <vt:lpstr>PA3C1</vt:lpstr>
      <vt:lpstr>PA3C2</vt:lpstr>
      <vt:lpstr>PA3D1</vt:lpstr>
      <vt:lpstr>PA3D2</vt:lpstr>
      <vt:lpstr>PA4B1</vt:lpstr>
      <vt:lpstr>PA4B2</vt:lpstr>
      <vt:lpstr>PA4B3</vt:lpstr>
      <vt:lpstr>PA4C1</vt:lpstr>
      <vt:lpstr>PA4C2</vt:lpstr>
      <vt:lpstr>PA4D1</vt:lpstr>
      <vt:lpstr>PA4D2</vt:lpstr>
      <vt:lpstr>PB1C1</vt:lpstr>
      <vt:lpstr>PB1C2</vt:lpstr>
      <vt:lpstr>PB1D1</vt:lpstr>
      <vt:lpstr>PB1D2</vt:lpstr>
      <vt:lpstr>PB2C1</vt:lpstr>
      <vt:lpstr>PB2C2</vt:lpstr>
      <vt:lpstr>PB2D1</vt:lpstr>
      <vt:lpstr>PB2D2</vt:lpstr>
      <vt:lpstr>PB3C1</vt:lpstr>
      <vt:lpstr>PB3C2</vt:lpstr>
      <vt:lpstr>PB3D1</vt:lpstr>
      <vt:lpstr>PB3D2</vt:lpstr>
      <vt:lpstr>PC1D1</vt:lpstr>
      <vt:lpstr>PC1D2</vt:lpstr>
      <vt:lpstr>PC2D1</vt:lpstr>
      <vt:lpstr>PC2D2</vt:lpstr>
      <vt:lpstr>qa1b1</vt:lpstr>
      <vt:lpstr>qa1b2</vt:lpstr>
      <vt:lpstr>qa1b3</vt:lpstr>
      <vt:lpstr>qa1b4</vt:lpstr>
      <vt:lpstr>qa1c1</vt:lpstr>
      <vt:lpstr>qa1c2</vt:lpstr>
      <vt:lpstr>qa2b1</vt:lpstr>
      <vt:lpstr>qa2b2</vt:lpstr>
      <vt:lpstr>qa2b3</vt:lpstr>
      <vt:lpstr>qa2b4</vt:lpstr>
      <vt:lpstr>qa2c1</vt:lpstr>
      <vt:lpstr>qa2c2</vt:lpstr>
      <vt:lpstr>qa3b1</vt:lpstr>
      <vt:lpstr>qa3b2</vt:lpstr>
      <vt:lpstr>qa3b3</vt:lpstr>
      <vt:lpstr>qa3b4</vt:lpstr>
      <vt:lpstr>qa3c1</vt:lpstr>
      <vt:lpstr>qa3c2</vt:lpstr>
      <vt:lpstr>qa4b1</vt:lpstr>
      <vt:lpstr>qa4b2</vt:lpstr>
      <vt:lpstr>qa4b3</vt:lpstr>
      <vt:lpstr>qa4b4</vt:lpstr>
      <vt:lpstr>qa4c1</vt:lpstr>
      <vt:lpstr>qa4c2</vt:lpstr>
      <vt:lpstr>qb1c1</vt:lpstr>
      <vt:lpstr>qb1c2</vt:lpstr>
      <vt:lpstr>qb2c1</vt:lpstr>
      <vt:lpstr>qb2c2</vt:lpstr>
      <vt:lpstr>qb3c1</vt:lpstr>
      <vt:lpstr>qb3c2</vt:lpstr>
      <vt:lpstr>qb4c1</vt:lpstr>
      <vt:lpstr>qb4c2</vt:lpstr>
      <vt:lpstr>RA1B1</vt:lpstr>
      <vt:lpstr>RA1B2</vt:lpstr>
      <vt:lpstr>RA1B3</vt:lpstr>
      <vt:lpstr>RA1C1</vt:lpstr>
      <vt:lpstr>RA1C2</vt:lpstr>
      <vt:lpstr>RA2B1</vt:lpstr>
      <vt:lpstr>RA2B2</vt:lpstr>
      <vt:lpstr>RA2B3</vt:lpstr>
      <vt:lpstr>RA2C1</vt:lpstr>
      <vt:lpstr>RA2C2</vt:lpstr>
      <vt:lpstr>RA3B1</vt:lpstr>
      <vt:lpstr>RA3B2</vt:lpstr>
      <vt:lpstr>RA3B3</vt:lpstr>
      <vt:lpstr>RA3C1</vt:lpstr>
      <vt:lpstr>RA3C2</vt:lpstr>
      <vt:lpstr>RA4B1</vt:lpstr>
      <vt:lpstr>RA4B2</vt:lpstr>
      <vt:lpstr>RA4B3</vt:lpstr>
      <vt:lpstr>RA4C1</vt:lpstr>
      <vt:lpstr>RA4C2</vt:lpstr>
      <vt:lpstr>RB1C1</vt:lpstr>
      <vt:lpstr>RB1C2</vt:lpstr>
      <vt:lpstr>RB2C1</vt:lpstr>
      <vt:lpstr>RB2C2</vt:lpstr>
      <vt:lpstr>RB3C1</vt:lpstr>
      <vt:lpstr>RB3C2</vt:lpstr>
      <vt:lpstr>xxl</vt:lpstr>
      <vt:lpstr>xxxl</vt:lpstr>
    </vt:vector>
  </TitlesOfParts>
  <Company>ANASTAT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Le Pape</dc:creator>
  <cp:lastModifiedBy>Gilles</cp:lastModifiedBy>
  <cp:lastPrinted>1997-07-08T14:29:46Z</cp:lastPrinted>
  <dcterms:created xsi:type="dcterms:W3CDTF">1997-07-06T13:46:53Z</dcterms:created>
  <dcterms:modified xsi:type="dcterms:W3CDTF">2015-02-22T16:10:48Z</dcterms:modified>
</cp:coreProperties>
</file>